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6975" activeTab="0"/>
  </bookViews>
  <sheets>
    <sheet name="RZiS GK" sheetId="1" r:id="rId1"/>
    <sheet name="Sk. spr.z cał.doch.GK" sheetId="2" r:id="rId2"/>
    <sheet name="Bilans GK" sheetId="3" r:id="rId3"/>
    <sheet name="Zest.zmian w kap.wł. GK" sheetId="4" r:id="rId4"/>
    <sheet name="Rach.przep.pienięż GK" sheetId="5" r:id="rId5"/>
    <sheet name="Wybrane dane finansowe GK" sheetId="6" r:id="rId6"/>
    <sheet name="Kursy walut" sheetId="7" r:id="rId7"/>
    <sheet name="Wskaźniki finansowe GK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<sst xmlns="http://schemas.openxmlformats.org/spreadsheetml/2006/main" count="266" uniqueCount="187">
  <si>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</si>
  <si>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</si>
  <si>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</si>
  <si>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</si>
  <si>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</si>
  <si>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</si>
  <si>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</si>
  <si>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</si>
  <si>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</si>
  <si>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</si>
  <si>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</si>
  <si>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</si>
  <si>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</si>
  <si>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</si>
  <si>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</si>
  <si>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</si>
  <si>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</si>
  <si>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</si>
  <si>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</si>
  <si>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</si>
  <si>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</si>
  <si>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</si>
  <si>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</si>
  <si>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</si>
  <si>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</si>
  <si>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</si>
  <si>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</si>
  <si>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</si>
  <si>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</si>
  <si>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</si>
  <si>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</si>
  <si>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</si>
  <si>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</si>
  <si>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</si>
  <si>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</si>
  <si>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</si>
  <si>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</si>
  <si>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</si>
  <si>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</si>
  <si>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</si>
  <si>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</si>
  <si>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</si>
  <si>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</si>
  <si>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</si>
  <si>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</si>
  <si>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</si>
  <si>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</si>
  <si>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</si>
  <si>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</si>
  <si>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</si>
  <si>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</si>
  <si>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</si>
  <si>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</si>
  <si>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</si>
  <si>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</si>
  <si>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</si>
  <si>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</si>
  <si>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</si>
  <si>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</si>
  <si>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</si>
  <si>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</si>
  <si>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</si>
  <si>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</si>
  <si>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</si>
  <si>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</si>
  <si>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</si>
  <si>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</si>
  <si>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</si>
  <si>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</si>
  <si>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</si>
  <si>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</si>
  <si>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</si>
  <si>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</si>
  <si>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</si>
  <si>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</si>
  <si>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</si>
  <si>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</si>
  <si>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</si>
  <si>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</si>
  <si>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</si>
  <si>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</si>
  <si>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</si>
  <si>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</si>
  <si>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</si>
  <si>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</si>
  <si>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</si>
  <si>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</si>
  <si>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</si>
  <si>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</si>
  <si>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</si>
  <si>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</si>
  <si>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</si>
  <si>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</si>
  <si>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</si>
  <si>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</si>
  <si>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</si>
  <si>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</si>
  <si>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</si>
  <si>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Dynamika (PLN)</t>
  </si>
  <si>
    <t>2013 PLN</t>
  </si>
  <si>
    <t>2013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</si>
  <si>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</si>
  <si>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</si>
  <si>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</si>
  <si>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</si>
  <si>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</si>
  <si>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</si>
  <si>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</si>
  <si>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</si>
  <si>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</si>
  <si>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</si>
  <si>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</si>
  <si>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</si>
  <si>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</si>
  <si>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</si>
  <si>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</si>
  <si>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</si>
  <si>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</si>
  <si>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</si>
  <si>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</si>
  <si>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</si>
  <si>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</si>
  <si>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</si>
  <si>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</si>
  <si>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</si>
  <si>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</si>
  <si>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F. Środki pieniężne na początek okresu</t>
  </si>
  <si>
    <t>A. DZIAŁALNOŚĆ OPERACYJNA</t>
  </si>
  <si>
    <t>B. DZIAŁALNOŚĆ INWESTYCYJNA</t>
  </si>
  <si>
    <t>I. Wpływy</t>
  </si>
  <si>
    <t>II. Wydatki</t>
  </si>
  <si>
    <t>C. DZIAŁALNOŚĆ FINANSOWA</t>
  </si>
  <si>
    <t>I. Zysk (strata) przed opodatkowaniem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</si>
  <si>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</si>
  <si>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</si>
  <si>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</si>
  <si>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</si>
  <si>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</si>
  <si>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</si>
  <si>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</si>
  <si>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</si>
  <si>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</si>
  <si>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</si>
  <si>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</si>
  <si>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</si>
  <si>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1. Zbycie wartości niematerialnych i prawnych oraz rzeczowych aktywów trwałych</t>
  </si>
  <si>
    <t>2. Zbycie inwestycji w nieruchomości oraz wartości niematerialne i prawne</t>
  </si>
  <si>
    <t>3. Z aktywów finansowych</t>
  </si>
  <si>
    <t>4. Inne wpływy inwestycyjne</t>
  </si>
  <si>
    <t>1. Nabycie wartości niematerialnych i prawnych oraz rzeczowych aktywów trwałych</t>
  </si>
  <si>
    <t>2. Inwestycje w nieruchomości oraz wartości niematerialane i prawne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</si>
  <si>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</si>
  <si>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</si>
  <si>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</si>
  <si>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</si>
  <si>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</si>
  <si>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</si>
  <si>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G. Środki pieniężne na koniec okresu (F+D), w tym</t>
  </si>
  <si>
    <t>– o ograniczonej mozliwości dysponowania</t>
  </si>
  <si>
    <t>za okres 01.01.2013 - 30.09.2013</t>
  </si>
  <si>
    <t>sam kwartał 4/2013</t>
  </si>
  <si>
    <t>za okres 01.01.2012 - 30.09.2012</t>
  </si>
  <si>
    <t>sam kwartał 4/2012</t>
  </si>
  <si>
    <t>3. Na aktywa finansowe</t>
  </si>
  <si>
    <t>2014 PLN</t>
  </si>
  <si>
    <t>2014 EUR</t>
  </si>
  <si>
    <t>Kapitał własny na dzień  01.01.2014 r.</t>
  </si>
  <si>
    <t>Kapitał własny na dzień  01.01.2013 r.</t>
  </si>
  <si>
    <t>za okres 01.04.2014 - 30.06.2014</t>
  </si>
  <si>
    <t>za okres 01.04.2013 - 30.06.2013</t>
  </si>
  <si>
    <t>za okres 01.01.2014 - 30-06.2014</t>
  </si>
  <si>
    <t>za okres 01.01.2013 - 30.06.2013</t>
  </si>
  <si>
    <t>stan na 30.06.2014 r.</t>
  </si>
  <si>
    <t>stan na 30.06.2013 r.</t>
  </si>
  <si>
    <t>sześć miesięcy zakończonych - 30.06.2014 r.</t>
  </si>
  <si>
    <t>Kapitał własny na dzień  30.06.2014 r.</t>
  </si>
  <si>
    <t>sześć miesięcy zakończonych - 30.06.2013 r.</t>
  </si>
  <si>
    <t>Kapitał własny na dzień  30.06.2013 r.</t>
  </si>
  <si>
    <t>2Q</t>
  </si>
  <si>
    <t>1-2 Q</t>
  </si>
  <si>
    <t>30.06</t>
  </si>
  <si>
    <t>Kapitał przypadający na udziały niesprawujące kontroli</t>
  </si>
  <si>
    <t>(30.06.)</t>
  </si>
  <si>
    <t>2 Q</t>
  </si>
  <si>
    <t>1 -2Q</t>
  </si>
  <si>
    <t>Zyski zatrzymane oraz różnice kursowe z pzeliczenia</t>
  </si>
  <si>
    <t>0,00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</si>
</sst>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_ ;\-#,##0.00\ "/>
    <numFmt numFmtId="166" formatCode="[$-415]d\ mmmm\ yyyy"/>
  </numFmts>
  <fonts count="6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60"/>
      <name val="Calibri"/>
      <family val="2"/>
    </font>
    <font>
      <sz val="11"/>
      <name val="Calibri"/>
      <family val="2"/>
    </font>
    <font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9"/>
      <color rgb="FFC00000"/>
      <name val="Calibri"/>
      <family val="2"/>
    </font>
    <font>
      <sz val="8"/>
      <color rgb="FFFF0000"/>
      <name val="Arial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uble">
        <color theme="0" tint="-0.4999699890613556"/>
      </top>
      <bottom/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double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double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double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/>
      <right/>
      <top style="thin">
        <color theme="1" tint="0.49998000264167786"/>
      </top>
      <bottom style="double">
        <color theme="1" tint="0.49998000264167786"/>
      </bottom>
    </border>
    <border>
      <left/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</border>
    <border>
      <left style="thin">
        <color theme="0" tint="-0.4999699890613556"/>
      </left>
      <right style="double">
        <color rgb="FF808080"/>
      </right>
      <top style="thin">
        <color theme="0" tint="-0.4999699890613556"/>
      </top>
      <bottom style="double"/>
    </border>
    <border>
      <left/>
      <right/>
      <top/>
      <bottom style="double"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/>
      <right style="thin"/>
      <top/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double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double">
        <color rgb="FF808080"/>
      </right>
      <top/>
      <bottom style="thin">
        <color rgb="FF808080"/>
      </bottom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double">
        <color rgb="FF808080"/>
      </left>
      <right style="thin">
        <color theme="0" tint="-0.4999699890613556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double">
        <color rgb="FF808080"/>
      </bottom>
    </border>
    <border>
      <left style="thin">
        <color rgb="FF808080"/>
      </left>
      <right style="medium">
        <color rgb="FF808080"/>
      </right>
      <top style="thin">
        <color theme="0" tint="-0.4999699890613556"/>
      </top>
      <bottom style="thin">
        <color rgb="FF808080"/>
      </bottom>
    </border>
    <border>
      <left style="thin">
        <color rgb="FF808080"/>
      </left>
      <right style="medium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>
        <color rgb="FF808080"/>
      </right>
      <top/>
      <bottom style="thin">
        <color rgb="FF808080"/>
      </bottom>
    </border>
    <border>
      <left style="thin">
        <color rgb="FF808080"/>
      </left>
      <right style="medium">
        <color rgb="FF808080"/>
      </right>
      <top style="thin">
        <color rgb="FF808080"/>
      </top>
      <bottom style="double">
        <color rgb="FF808080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rgb="FF808080"/>
      </left>
      <right/>
      <top style="double">
        <color rgb="FF808080"/>
      </top>
      <bottom style="thin">
        <color rgb="FF808080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>
        <color rgb="FF80808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</border>
    <border>
      <left/>
      <right style="medium">
        <color theme="0" tint="-0.4999699890613556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>
        <color theme="0" tint="-0.4999699890613556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>
        <color theme="0" tint="-0.4999699890613556"/>
      </right>
      <top style="thin">
        <color rgb="FF808080"/>
      </top>
      <bottom style="double">
        <color rgb="FF808080"/>
      </bottom>
    </border>
    <border>
      <left style="thin">
        <color rgb="FF808080"/>
      </left>
      <right/>
      <top/>
      <bottom style="thin">
        <color rgb="FF808080"/>
      </bottom>
    </border>
    <border>
      <left style="double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>
        <color rgb="FF808080"/>
      </right>
      <top/>
      <bottom style="thin">
        <color theme="0" tint="-0.4999699890613556"/>
      </bottom>
    </border>
    <border>
      <left style="thin">
        <color theme="1" tint="0.49998000264167786"/>
      </left>
      <right/>
      <top style="double">
        <color theme="1" tint="0.49998000264167786"/>
      </top>
      <bottom/>
    </border>
    <border>
      <left/>
      <right/>
      <top style="double">
        <color theme="1" tint="0.49998000264167786"/>
      </top>
      <bottom/>
    </border>
    <border>
      <left/>
      <right style="double">
        <color theme="1" tint="0.49998000264167786"/>
      </right>
      <top style="double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 style="double">
        <color theme="1" tint="0.49998000264167786"/>
      </right>
      <top/>
      <bottom style="thin">
        <color theme="1" tint="0.49998000264167786"/>
      </bottom>
    </border>
    <border>
      <left style="thin">
        <color theme="0" tint="-0.4999699890613556"/>
      </left>
      <right style="double">
        <color theme="0" tint="-0.4999699890613556"/>
      </right>
      <top style="double">
        <color theme="0" tint="-0.4999699890613556"/>
      </top>
      <bottom/>
    </border>
    <border>
      <left style="thin">
        <color theme="0" tint="-0.4999699890613556"/>
      </left>
      <right style="double">
        <color theme="0" tint="-0.4999699890613556"/>
      </right>
      <top/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double">
        <color theme="1" tint="0.49998000264167786"/>
      </top>
      <bottom/>
    </border>
    <border>
      <left style="thin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medium">
        <color theme="1" tint="0.49998000264167786"/>
      </right>
      <top style="double">
        <color theme="1" tint="0.49998000264167786"/>
      </top>
      <bottom/>
    </border>
    <border>
      <left/>
      <right style="medium">
        <color theme="1" tint="0.49998000264167786"/>
      </right>
      <top/>
      <bottom style="thin">
        <color theme="1" tint="0.49998000264167786"/>
      </bottom>
    </border>
    <border>
      <left/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medium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/>
      <right style="double">
        <color theme="0" tint="-0.4999699890613556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double">
        <color theme="0" tint="-0.4999699890613556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double">
        <color theme="0" tint="-0.4999699890613556"/>
      </right>
      <top style="thin">
        <color rgb="FF808080"/>
      </top>
      <bottom style="double">
        <color rgb="FF808080"/>
      </bottom>
    </border>
    <border>
      <left style="double">
        <color rgb="FF808080"/>
      </left>
      <right>
        <color indexed="63"/>
      </right>
      <top/>
      <bottom>
        <color indexed="63"/>
      </bottom>
    </border>
    <border>
      <left style="double">
        <color theme="0" tint="-0.4999699890613556"/>
      </left>
      <right/>
      <top style="double">
        <color theme="0" tint="-0.4999699890613556"/>
      </top>
      <bottom style="thin">
        <color theme="0" tint="-0.4999699890613556"/>
      </bottom>
    </border>
    <border>
      <left/>
      <right/>
      <top style="double">
        <color theme="0" tint="-0.4999699890613556"/>
      </top>
      <bottom style="thin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/>
    </border>
    <border>
      <left/>
      <right/>
      <top style="double">
        <color theme="0" tint="-0.4999699890613556"/>
      </top>
      <bottom/>
    </border>
    <border>
      <left/>
      <right style="double">
        <color theme="0" tint="-0.4999699890613556"/>
      </right>
      <top style="double">
        <color theme="0" tint="-0.4999699890613556"/>
      </top>
      <bottom/>
    </border>
    <border>
      <left/>
      <right style="double">
        <color rgb="FF808080"/>
      </right>
      <top style="double">
        <color rgb="FF808080"/>
      </top>
      <bottom style="thin">
        <color rgb="FF808080"/>
      </bottom>
    </border>
    <border>
      <left/>
      <right/>
      <top style="double">
        <color rgb="FF808080"/>
      </top>
      <bottom style="thin">
        <color rgb="FF808080"/>
      </bottom>
    </border>
    <border>
      <left/>
      <right style="double">
        <color theme="0" tint="-0.4999699890613556"/>
      </right>
      <top style="double">
        <color rgb="FF808080"/>
      </top>
      <bottom style="thin">
        <color rgb="FF808080"/>
      </bottom>
    </border>
    <border>
      <left style="double">
        <color theme="1" tint="0.49998000264167786"/>
      </left>
      <right/>
      <top style="double">
        <color theme="1" tint="0.49998000264167786"/>
      </top>
      <bottom style="thin">
        <color theme="1" tint="0.49998000264167786"/>
      </bottom>
    </border>
    <border>
      <left style="double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double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thin">
        <color theme="1" tint="0.49998000264167786"/>
      </bottom>
    </border>
    <border>
      <left style="double">
        <color theme="1" tint="0.49998000264167786"/>
      </left>
      <right/>
      <top/>
      <bottom style="thin">
        <color theme="1" tint="0.49998000264167786"/>
      </bottom>
    </border>
    <border>
      <left style="double">
        <color theme="0" tint="-0.4999699890613556"/>
      </left>
      <right style="thin">
        <color theme="0" tint="-0.4999699890613556"/>
      </right>
      <top style="double">
        <color theme="0" tint="-0.4999699890613556"/>
      </top>
      <bottom>
        <color indexed="63"/>
      </bottom>
    </border>
    <border>
      <left style="double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49" fontId="3" fillId="33" borderId="10" xfId="52" applyNumberFormat="1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vertical="center" wrapText="1"/>
      <protection/>
    </xf>
    <xf numFmtId="49" fontId="5" fillId="33" borderId="10" xfId="52" applyNumberFormat="1" applyFont="1" applyFill="1" applyBorder="1" applyAlignment="1">
      <alignment vertical="center" wrapText="1"/>
      <protection/>
    </xf>
    <xf numFmtId="0" fontId="3" fillId="33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wrapText="1"/>
    </xf>
    <xf numFmtId="49" fontId="3" fillId="33" borderId="10" xfId="52" applyNumberFormat="1" applyFont="1" applyFill="1" applyBorder="1" applyAlignment="1">
      <alignment horizontal="left" vertical="center" wrapText="1"/>
      <protection/>
    </xf>
    <xf numFmtId="49" fontId="3" fillId="33" borderId="11" xfId="52" applyNumberFormat="1" applyFont="1" applyFill="1" applyBorder="1" applyAlignment="1">
      <alignment horizontal="left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vertical="center" wrapText="1"/>
      <protection/>
    </xf>
    <xf numFmtId="0" fontId="3" fillId="35" borderId="10" xfId="0" applyFont="1" applyFill="1" applyBorder="1" applyAlignment="1">
      <alignment/>
    </xf>
    <xf numFmtId="49" fontId="3" fillId="35" borderId="11" xfId="52" applyNumberFormat="1" applyFont="1" applyFill="1" applyBorder="1" applyAlignment="1">
      <alignment vertical="center" wrapTex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52" applyFont="1" applyBorder="1">
      <alignment/>
      <protection/>
    </xf>
    <xf numFmtId="0" fontId="4" fillId="33" borderId="11" xfId="52" applyFont="1" applyFill="1" applyBorder="1">
      <alignment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" fontId="3" fillId="35" borderId="10" xfId="0" applyNumberFormat="1" applyFont="1" applyFill="1" applyBorder="1" applyAlignment="1" applyProtection="1">
      <alignment horizontal="left" vertical="center" wrapText="1"/>
      <protection/>
    </xf>
    <xf numFmtId="0" fontId="8" fillId="35" borderId="13" xfId="0" applyFont="1" applyFill="1" applyBorder="1" applyAlignment="1">
      <alignment horizontal="center" vertical="top"/>
    </xf>
    <xf numFmtId="0" fontId="4" fillId="0" borderId="11" xfId="52" applyFont="1" applyBorder="1">
      <alignment/>
      <protection/>
    </xf>
    <xf numFmtId="10" fontId="7" fillId="36" borderId="14" xfId="0" applyNumberFormat="1" applyFont="1" applyFill="1" applyBorder="1" applyAlignment="1">
      <alignment horizontal="center" vertical="center"/>
    </xf>
    <xf numFmtId="1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164" fontId="59" fillId="0" borderId="2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36" borderId="22" xfId="0" applyFont="1" applyFill="1" applyBorder="1" applyAlignment="1">
      <alignment horizontal="justify" vertical="center"/>
    </xf>
    <xf numFmtId="10" fontId="9" fillId="36" borderId="2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justify" vertical="center"/>
    </xf>
    <xf numFmtId="10" fontId="9" fillId="0" borderId="23" xfId="0" applyNumberFormat="1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justify"/>
    </xf>
    <xf numFmtId="0" fontId="6" fillId="36" borderId="24" xfId="0" applyFont="1" applyFill="1" applyBorder="1" applyAlignment="1">
      <alignment horizontal="justify" vertical="center"/>
    </xf>
    <xf numFmtId="10" fontId="7" fillId="36" borderId="25" xfId="0" applyNumberFormat="1" applyFont="1" applyFill="1" applyBorder="1" applyAlignment="1">
      <alignment horizontal="center" vertical="center"/>
    </xf>
    <xf numFmtId="10" fontId="9" fillId="36" borderId="2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3" fillId="35" borderId="17" xfId="53" applyFont="1" applyFill="1" applyBorder="1" applyAlignment="1">
      <alignment horizontal="left" vertical="center" wrapText="1"/>
      <protection/>
    </xf>
    <xf numFmtId="0" fontId="3" fillId="0" borderId="17" xfId="53" applyFont="1" applyFill="1" applyBorder="1" applyAlignment="1">
      <alignment vertical="center" wrapText="1"/>
      <protection/>
    </xf>
    <xf numFmtId="0" fontId="4" fillId="0" borderId="17" xfId="53" applyFont="1" applyFill="1" applyBorder="1" applyAlignment="1">
      <alignment horizontal="left" vertical="center" wrapText="1" indent="4"/>
      <protection/>
    </xf>
    <xf numFmtId="0" fontId="62" fillId="0" borderId="0" xfId="0" applyFont="1" applyFill="1" applyBorder="1" applyAlignment="1">
      <alignment horizontal="center" vertical="top"/>
    </xf>
    <xf numFmtId="0" fontId="3" fillId="35" borderId="17" xfId="53" applyFont="1" applyFill="1" applyBorder="1" applyAlignment="1">
      <alignment vertical="center" wrapText="1"/>
      <protection/>
    </xf>
    <xf numFmtId="0" fontId="4" fillId="0" borderId="17" xfId="53" applyFont="1" applyFill="1" applyBorder="1" applyAlignment="1">
      <alignment horizontal="left" vertical="center" wrapText="1" indent="8"/>
      <protection/>
    </xf>
    <xf numFmtId="0" fontId="4" fillId="0" borderId="19" xfId="53" applyFont="1" applyFill="1" applyBorder="1" applyAlignment="1">
      <alignment horizontal="left" vertical="center" wrapText="1" indent="8"/>
      <protection/>
    </xf>
    <xf numFmtId="4" fontId="4" fillId="0" borderId="27" xfId="52" applyNumberFormat="1" applyFont="1" applyFill="1" applyBorder="1" applyAlignment="1">
      <alignment horizontal="right" vertical="center" wrapText="1"/>
      <protection/>
    </xf>
    <xf numFmtId="0" fontId="33" fillId="0" borderId="0" xfId="0" applyFont="1" applyAlignment="1">
      <alignment/>
    </xf>
    <xf numFmtId="4" fontId="4" fillId="0" borderId="28" xfId="52" applyNumberFormat="1" applyFont="1" applyFill="1" applyBorder="1" applyAlignment="1">
      <alignment horizontal="right" vertical="center" wrapText="1"/>
      <protection/>
    </xf>
    <xf numFmtId="4" fontId="3" fillId="35" borderId="28" xfId="0" applyNumberFormat="1" applyFont="1" applyFill="1" applyBorder="1" applyAlignment="1" applyProtection="1">
      <alignment horizontal="right"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4" fontId="3" fillId="35" borderId="29" xfId="0" applyNumberFormat="1" applyFont="1" applyFill="1" applyBorder="1" applyAlignment="1" applyProtection="1">
      <alignment horizontal="right"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3" fontId="0" fillId="0" borderId="0" xfId="0" applyNumberFormat="1" applyAlignment="1">
      <alignment/>
    </xf>
    <xf numFmtId="0" fontId="3" fillId="38" borderId="30" xfId="52" applyFont="1" applyFill="1" applyBorder="1" applyAlignment="1">
      <alignment horizontal="center" vertical="center" wrapText="1"/>
      <protection/>
    </xf>
    <xf numFmtId="0" fontId="3" fillId="38" borderId="31" xfId="52" applyFont="1" applyFill="1" applyBorder="1" applyAlignment="1">
      <alignment horizontal="center" vertical="center" wrapText="1"/>
      <protection/>
    </xf>
    <xf numFmtId="0" fontId="63" fillId="35" borderId="32" xfId="0" applyFont="1" applyFill="1" applyBorder="1" applyAlignment="1">
      <alignment/>
    </xf>
    <xf numFmtId="0" fontId="0" fillId="7" borderId="33" xfId="0" applyFill="1" applyBorder="1" applyAlignment="1">
      <alignment/>
    </xf>
    <xf numFmtId="4" fontId="4" fillId="0" borderId="34" xfId="42" applyNumberFormat="1" applyFont="1" applyBorder="1" applyAlignment="1">
      <alignment horizontal="center" vertical="center"/>
    </xf>
    <xf numFmtId="4" fontId="0" fillId="7" borderId="35" xfId="0" applyNumberFormat="1" applyFill="1" applyBorder="1" applyAlignment="1">
      <alignment/>
    </xf>
    <xf numFmtId="43" fontId="3" fillId="0" borderId="36" xfId="42" applyFont="1" applyFill="1" applyBorder="1" applyAlignment="1">
      <alignment vertical="center" wrapText="1"/>
    </xf>
    <xf numFmtId="43" fontId="4" fillId="0" borderId="34" xfId="42" applyFont="1" applyFill="1" applyBorder="1" applyAlignment="1">
      <alignment horizontal="right" vertical="center"/>
    </xf>
    <xf numFmtId="43" fontId="4" fillId="0" borderId="34" xfId="42" applyFont="1" applyBorder="1" applyAlignment="1">
      <alignment horizontal="right" vertical="center"/>
    </xf>
    <xf numFmtId="43" fontId="3" fillId="35" borderId="36" xfId="42" applyFont="1" applyFill="1" applyBorder="1" applyAlignment="1">
      <alignment vertical="center" wrapText="1"/>
    </xf>
    <xf numFmtId="43" fontId="4" fillId="35" borderId="34" xfId="42" applyFont="1" applyFill="1" applyBorder="1" applyAlignment="1">
      <alignment vertical="center"/>
    </xf>
    <xf numFmtId="43" fontId="4" fillId="0" borderId="34" xfId="42" applyFont="1" applyBorder="1" applyAlignment="1">
      <alignment vertical="center"/>
    </xf>
    <xf numFmtId="43" fontId="4" fillId="0" borderId="34" xfId="42" applyFont="1" applyBorder="1" applyAlignment="1">
      <alignment/>
    </xf>
    <xf numFmtId="43" fontId="4" fillId="35" borderId="34" xfId="42" applyFont="1" applyFill="1" applyBorder="1" applyAlignment="1">
      <alignment/>
    </xf>
    <xf numFmtId="43" fontId="3" fillId="35" borderId="36" xfId="42" applyFont="1" applyFill="1" applyBorder="1" applyAlignment="1">
      <alignment horizontal="left" vertical="center" wrapText="1"/>
    </xf>
    <xf numFmtId="43" fontId="3" fillId="35" borderId="34" xfId="42" applyFont="1" applyFill="1" applyBorder="1" applyAlignment="1">
      <alignment vertical="center"/>
    </xf>
    <xf numFmtId="43" fontId="4" fillId="0" borderId="37" xfId="42" applyFont="1" applyBorder="1" applyAlignment="1">
      <alignment vertical="center"/>
    </xf>
    <xf numFmtId="4" fontId="7" fillId="0" borderId="38" xfId="0" applyNumberFormat="1" applyFont="1" applyFill="1" applyBorder="1" applyAlignment="1">
      <alignment horizontal="right" vertical="center"/>
    </xf>
    <xf numFmtId="4" fontId="7" fillId="36" borderId="38" xfId="0" applyNumberFormat="1" applyFont="1" applyFill="1" applyBorder="1" applyAlignment="1">
      <alignment horizontal="right" vertical="center"/>
    </xf>
    <xf numFmtId="4" fontId="7" fillId="0" borderId="39" xfId="0" applyNumberFormat="1" applyFont="1" applyFill="1" applyBorder="1" applyAlignment="1">
      <alignment horizontal="right" vertical="center"/>
    </xf>
    <xf numFmtId="4" fontId="7" fillId="36" borderId="39" xfId="0" applyNumberFormat="1" applyFont="1" applyFill="1" applyBorder="1" applyAlignment="1">
      <alignment horizontal="right" vertical="center"/>
    </xf>
    <xf numFmtId="2" fontId="7" fillId="0" borderId="40" xfId="56" applyNumberFormat="1" applyFont="1" applyFill="1" applyBorder="1" applyAlignment="1">
      <alignment horizontal="center" vertical="center"/>
    </xf>
    <xf numFmtId="2" fontId="7" fillId="36" borderId="40" xfId="56" applyNumberFormat="1" applyFont="1" applyFill="1" applyBorder="1" applyAlignment="1">
      <alignment horizontal="center" vertical="center"/>
    </xf>
    <xf numFmtId="4" fontId="7" fillId="36" borderId="40" xfId="0" applyNumberFormat="1" applyFont="1" applyFill="1" applyBorder="1" applyAlignment="1">
      <alignment horizontal="center" wrapText="1"/>
    </xf>
    <xf numFmtId="4" fontId="7" fillId="36" borderId="38" xfId="0" applyNumberFormat="1" applyFont="1" applyFill="1" applyBorder="1" applyAlignment="1">
      <alignment horizontal="right"/>
    </xf>
    <xf numFmtId="4" fontId="7" fillId="0" borderId="38" xfId="0" applyNumberFormat="1" applyFont="1" applyFill="1" applyBorder="1" applyAlignment="1">
      <alignment horizontal="right"/>
    </xf>
    <xf numFmtId="4" fontId="5" fillId="33" borderId="41" xfId="52" applyNumberFormat="1" applyFont="1" applyFill="1" applyBorder="1" applyAlignment="1">
      <alignment horizontal="right" vertical="center" wrapText="1"/>
      <protection/>
    </xf>
    <xf numFmtId="4" fontId="4" fillId="0" borderId="41" xfId="52" applyNumberFormat="1" applyFont="1" applyBorder="1" applyAlignment="1">
      <alignment horizontal="right"/>
      <protection/>
    </xf>
    <xf numFmtId="0" fontId="64" fillId="0" borderId="0" xfId="0" applyFont="1" applyAlignment="1">
      <alignment/>
    </xf>
    <xf numFmtId="43" fontId="60" fillId="0" borderId="0" xfId="0" applyNumberFormat="1" applyFont="1" applyAlignment="1">
      <alignment/>
    </xf>
    <xf numFmtId="4" fontId="5" fillId="33" borderId="29" xfId="52" applyNumberFormat="1" applyFont="1" applyFill="1" applyBorder="1" applyAlignment="1">
      <alignment horizontal="right" vertical="center" wrapText="1"/>
      <protection/>
    </xf>
    <xf numFmtId="0" fontId="8" fillId="5" borderId="4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vertical="top"/>
    </xf>
    <xf numFmtId="4" fontId="3" fillId="33" borderId="43" xfId="52" applyNumberFormat="1" applyFont="1" applyFill="1" applyBorder="1" applyAlignment="1">
      <alignment horizontal="right" vertical="center" wrapText="1"/>
      <protection/>
    </xf>
    <xf numFmtId="4" fontId="3" fillId="33" borderId="44" xfId="52" applyNumberFormat="1" applyFont="1" applyFill="1" applyBorder="1" applyAlignment="1">
      <alignment horizontal="right" vertical="center" wrapText="1"/>
      <protection/>
    </xf>
    <xf numFmtId="4" fontId="3" fillId="33" borderId="28" xfId="52" applyNumberFormat="1" applyFont="1" applyFill="1" applyBorder="1" applyAlignment="1">
      <alignment horizontal="right" vertical="center" wrapText="1"/>
      <protection/>
    </xf>
    <xf numFmtId="4" fontId="3" fillId="33" borderId="27" xfId="52" applyNumberFormat="1" applyFont="1" applyFill="1" applyBorder="1" applyAlignment="1">
      <alignment horizontal="right" vertical="center" wrapText="1"/>
      <protection/>
    </xf>
    <xf numFmtId="4" fontId="3" fillId="39" borderId="27" xfId="52" applyNumberFormat="1" applyFont="1" applyFill="1" applyBorder="1" applyAlignment="1">
      <alignment horizontal="right" vertical="center" wrapText="1"/>
      <protection/>
    </xf>
    <xf numFmtId="4" fontId="3" fillId="33" borderId="29" xfId="52" applyNumberFormat="1" applyFont="1" applyFill="1" applyBorder="1" applyAlignment="1" applyProtection="1">
      <alignment horizontal="right" vertical="center" wrapText="1"/>
      <protection locked="0"/>
    </xf>
    <xf numFmtId="4" fontId="3" fillId="33" borderId="45" xfId="52" applyNumberFormat="1" applyFont="1" applyFill="1" applyBorder="1" applyAlignment="1" applyProtection="1">
      <alignment horizontal="right" vertical="center" wrapText="1"/>
      <protection locked="0"/>
    </xf>
    <xf numFmtId="4" fontId="3" fillId="39" borderId="28" xfId="52" applyNumberFormat="1" applyFont="1" applyFill="1" applyBorder="1" applyAlignment="1">
      <alignment horizontal="right" vertical="center" wrapText="1"/>
      <protection/>
    </xf>
    <xf numFmtId="4" fontId="3" fillId="35" borderId="28" xfId="52" applyNumberFormat="1" applyFont="1" applyFill="1" applyBorder="1" applyAlignment="1">
      <alignment horizontal="right" vertical="center" wrapText="1"/>
      <protection/>
    </xf>
    <xf numFmtId="4" fontId="3" fillId="35" borderId="29" xfId="52" applyNumberFormat="1" applyFont="1" applyFill="1" applyBorder="1" applyAlignment="1">
      <alignment horizontal="right" vertical="center" wrapText="1"/>
      <protection/>
    </xf>
    <xf numFmtId="4" fontId="3" fillId="35" borderId="28" xfId="52" applyNumberFormat="1" applyFont="1" applyFill="1" applyBorder="1" applyAlignment="1">
      <alignment vertical="center" wrapText="1"/>
      <protection/>
    </xf>
    <xf numFmtId="4" fontId="4" fillId="0" borderId="28" xfId="52" applyNumberFormat="1" applyFont="1" applyFill="1" applyBorder="1" applyAlignment="1">
      <alignment vertical="center" wrapText="1"/>
      <protection/>
    </xf>
    <xf numFmtId="4" fontId="4" fillId="0" borderId="29" xfId="52" applyNumberFormat="1" applyFont="1" applyBorder="1">
      <alignment/>
      <protection/>
    </xf>
    <xf numFmtId="4" fontId="33" fillId="0" borderId="0" xfId="0" applyNumberFormat="1" applyFont="1" applyAlignment="1">
      <alignment/>
    </xf>
    <xf numFmtId="0" fontId="36" fillId="0" borderId="0" xfId="0" applyFont="1" applyAlignment="1">
      <alignment/>
    </xf>
    <xf numFmtId="4" fontId="3" fillId="35" borderId="27" xfId="52" applyNumberFormat="1" applyFont="1" applyFill="1" applyBorder="1" applyAlignment="1">
      <alignment horizontal="right" vertical="center" wrapText="1"/>
      <protection/>
    </xf>
    <xf numFmtId="4" fontId="3" fillId="35" borderId="45" xfId="52" applyNumberFormat="1" applyFont="1" applyFill="1" applyBorder="1" applyAlignment="1">
      <alignment horizontal="right" vertical="center" wrapText="1"/>
      <protection/>
    </xf>
    <xf numFmtId="4" fontId="3" fillId="35" borderId="27" xfId="52" applyNumberFormat="1" applyFont="1" applyFill="1" applyBorder="1" applyAlignment="1">
      <alignment vertical="center" wrapText="1"/>
      <protection/>
    </xf>
    <xf numFmtId="4" fontId="4" fillId="0" borderId="27" xfId="52" applyNumberFormat="1" applyFont="1" applyFill="1" applyBorder="1" applyAlignment="1">
      <alignment vertical="center" wrapText="1"/>
      <protection/>
    </xf>
    <xf numFmtId="4" fontId="4" fillId="0" borderId="45" xfId="52" applyNumberFormat="1" applyFont="1" applyBorder="1">
      <alignment/>
      <protection/>
    </xf>
    <xf numFmtId="4" fontId="4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4" fontId="4" fillId="0" borderId="41" xfId="52" applyNumberFormat="1" applyFont="1" applyFill="1" applyBorder="1" applyAlignment="1">
      <alignment horizontal="right" vertical="center" wrapText="1"/>
      <protection/>
    </xf>
    <xf numFmtId="43" fontId="60" fillId="0" borderId="0" xfId="0" applyNumberFormat="1" applyFont="1" applyAlignment="1">
      <alignment wrapText="1"/>
    </xf>
    <xf numFmtId="43" fontId="65" fillId="0" borderId="0" xfId="0" applyNumberFormat="1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49" fontId="3" fillId="0" borderId="47" xfId="52" applyNumberFormat="1" applyFont="1" applyFill="1" applyBorder="1" applyAlignment="1">
      <alignment horizontal="left" vertical="center" wrapText="1"/>
      <protection/>
    </xf>
    <xf numFmtId="4" fontId="3" fillId="33" borderId="48" xfId="52" applyNumberFormat="1" applyFont="1" applyFill="1" applyBorder="1" applyAlignment="1">
      <alignment horizontal="right" vertical="center" wrapText="1"/>
      <protection/>
    </xf>
    <xf numFmtId="4" fontId="3" fillId="33" borderId="41" xfId="52" applyNumberFormat="1" applyFont="1" applyFill="1" applyBorder="1" applyAlignment="1">
      <alignment horizontal="right" vertical="center" wrapText="1"/>
      <protection/>
    </xf>
    <xf numFmtId="4" fontId="3" fillId="39" borderId="41" xfId="52" applyNumberFormat="1" applyFont="1" applyFill="1" applyBorder="1" applyAlignment="1">
      <alignment horizontal="right" vertical="center" wrapText="1"/>
      <protection/>
    </xf>
    <xf numFmtId="4" fontId="3" fillId="33" borderId="49" xfId="52" applyNumberFormat="1" applyFont="1" applyFill="1" applyBorder="1" applyAlignment="1" applyProtection="1">
      <alignment horizontal="right" vertical="center" wrapText="1"/>
      <protection locked="0"/>
    </xf>
    <xf numFmtId="4" fontId="3" fillId="33" borderId="50" xfId="52" applyNumberFormat="1" applyFont="1" applyFill="1" applyBorder="1" applyAlignment="1">
      <alignment horizontal="right" vertical="center" wrapText="1"/>
      <protection/>
    </xf>
    <xf numFmtId="4" fontId="4" fillId="0" borderId="51" xfId="52" applyNumberFormat="1" applyFont="1" applyFill="1" applyBorder="1" applyAlignment="1">
      <alignment horizontal="right" vertical="center" wrapText="1"/>
      <protection/>
    </xf>
    <xf numFmtId="4" fontId="3" fillId="33" borderId="52" xfId="52" applyNumberFormat="1" applyFont="1" applyFill="1" applyBorder="1" applyAlignment="1">
      <alignment horizontal="right" vertical="center" wrapText="1"/>
      <protection/>
    </xf>
    <xf numFmtId="4" fontId="3" fillId="33" borderId="51" xfId="52" applyNumberFormat="1" applyFont="1" applyFill="1" applyBorder="1" applyAlignment="1">
      <alignment horizontal="right" vertical="center" wrapText="1"/>
      <protection/>
    </xf>
    <xf numFmtId="4" fontId="3" fillId="39" borderId="51" xfId="52" applyNumberFormat="1" applyFont="1" applyFill="1" applyBorder="1" applyAlignment="1">
      <alignment horizontal="right" vertical="center" wrapText="1"/>
      <protection/>
    </xf>
    <xf numFmtId="4" fontId="3" fillId="33" borderId="53" xfId="52" applyNumberFormat="1" applyFont="1" applyFill="1" applyBorder="1" applyAlignment="1" applyProtection="1">
      <alignment horizontal="right" vertical="center" wrapText="1"/>
      <protection locked="0"/>
    </xf>
    <xf numFmtId="0" fontId="3" fillId="34" borderId="54" xfId="52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right" vertical="center" wrapText="1"/>
      <protection/>
    </xf>
    <xf numFmtId="0" fontId="3" fillId="14" borderId="55" xfId="52" applyFont="1" applyFill="1" applyBorder="1" applyAlignment="1">
      <alignment horizontal="center" vertical="center" wrapText="1"/>
      <protection/>
    </xf>
    <xf numFmtId="0" fontId="3" fillId="14" borderId="56" xfId="52" applyFont="1" applyFill="1" applyBorder="1" applyAlignment="1">
      <alignment horizontal="center" vertical="center" wrapText="1"/>
      <protection/>
    </xf>
    <xf numFmtId="0" fontId="3" fillId="14" borderId="57" xfId="52" applyFont="1" applyFill="1" applyBorder="1" applyAlignment="1">
      <alignment horizontal="center" vertical="center" wrapText="1"/>
      <protection/>
    </xf>
    <xf numFmtId="0" fontId="3" fillId="14" borderId="58" xfId="52" applyFont="1" applyFill="1" applyBorder="1" applyAlignment="1">
      <alignment horizontal="center" vertical="center" wrapText="1"/>
      <protection/>
    </xf>
    <xf numFmtId="4" fontId="5" fillId="33" borderId="49" xfId="52" applyNumberFormat="1" applyFont="1" applyFill="1" applyBorder="1" applyAlignment="1">
      <alignment horizontal="right" vertical="center" wrapText="1"/>
      <protection/>
    </xf>
    <xf numFmtId="4" fontId="5" fillId="33" borderId="59" xfId="52" applyNumberFormat="1" applyFont="1" applyFill="1" applyBorder="1" applyAlignment="1">
      <alignment horizontal="right" vertical="center" wrapText="1"/>
      <protection/>
    </xf>
    <xf numFmtId="4" fontId="4" fillId="0" borderId="60" xfId="52" applyNumberFormat="1" applyFont="1" applyFill="1" applyBorder="1" applyAlignment="1">
      <alignment horizontal="right" vertical="center" wrapText="1"/>
      <protection/>
    </xf>
    <xf numFmtId="4" fontId="4" fillId="0" borderId="59" xfId="52" applyNumberFormat="1" applyFont="1" applyBorder="1" applyAlignment="1">
      <alignment horizontal="right"/>
      <protection/>
    </xf>
    <xf numFmtId="4" fontId="5" fillId="33" borderId="61" xfId="52" applyNumberFormat="1" applyFont="1" applyFill="1" applyBorder="1" applyAlignment="1">
      <alignment horizontal="right" vertical="center" wrapText="1"/>
      <protection/>
    </xf>
    <xf numFmtId="0" fontId="3" fillId="14" borderId="43" xfId="52" applyFont="1" applyFill="1" applyBorder="1" applyAlignment="1">
      <alignment horizontal="center" vertical="center" wrapText="1"/>
      <protection/>
    </xf>
    <xf numFmtId="0" fontId="3" fillId="14" borderId="44" xfId="52" applyFont="1" applyFill="1" applyBorder="1" applyAlignment="1">
      <alignment horizontal="center" vertical="center" wrapText="1"/>
      <protection/>
    </xf>
    <xf numFmtId="0" fontId="3" fillId="14" borderId="58" xfId="0" applyFont="1" applyFill="1" applyBorder="1" applyAlignment="1">
      <alignment horizontal="center" vertical="center" wrapText="1"/>
    </xf>
    <xf numFmtId="49" fontId="3" fillId="14" borderId="43" xfId="52" applyNumberFormat="1" applyFont="1" applyFill="1" applyBorder="1" applyAlignment="1">
      <alignment horizontal="center" vertical="center" wrapText="1"/>
      <protection/>
    </xf>
    <xf numFmtId="49" fontId="3" fillId="14" borderId="44" xfId="52" applyNumberFormat="1" applyFont="1" applyFill="1" applyBorder="1" applyAlignment="1">
      <alignment horizontal="center" vertical="center" wrapText="1"/>
      <protection/>
    </xf>
    <xf numFmtId="49" fontId="3" fillId="14" borderId="62" xfId="52" applyNumberFormat="1" applyFont="1" applyFill="1" applyBorder="1" applyAlignment="1">
      <alignment horizontal="center" vertical="center" wrapText="1"/>
      <protection/>
    </xf>
    <xf numFmtId="4" fontId="3" fillId="35" borderId="27" xfId="0" applyNumberFormat="1" applyFont="1" applyFill="1" applyBorder="1" applyAlignment="1" applyProtection="1">
      <alignment horizontal="right" vertical="center"/>
      <protection/>
    </xf>
    <xf numFmtId="4" fontId="3" fillId="35" borderId="11" xfId="0" applyNumberFormat="1" applyFont="1" applyFill="1" applyBorder="1" applyAlignment="1" applyProtection="1">
      <alignment horizontal="left" vertical="center" wrapText="1"/>
      <protection/>
    </xf>
    <xf numFmtId="4" fontId="3" fillId="35" borderId="45" xfId="0" applyNumberFormat="1" applyFont="1" applyFill="1" applyBorder="1" applyAlignment="1" applyProtection="1">
      <alignment horizontal="right" vertical="center"/>
      <protection/>
    </xf>
    <xf numFmtId="0" fontId="3" fillId="34" borderId="15" xfId="52" applyFont="1" applyFill="1" applyBorder="1" applyAlignment="1">
      <alignment horizontal="center" vertical="center" wrapText="1"/>
      <protection/>
    </xf>
    <xf numFmtId="0" fontId="61" fillId="14" borderId="63" xfId="0" applyFont="1" applyFill="1" applyBorder="1" applyAlignment="1">
      <alignment/>
    </xf>
    <xf numFmtId="0" fontId="3" fillId="14" borderId="15" xfId="52" applyFont="1" applyFill="1" applyBorder="1" applyAlignment="1">
      <alignment horizontal="center" vertical="center" wrapText="1"/>
      <protection/>
    </xf>
    <xf numFmtId="0" fontId="3" fillId="14" borderId="64" xfId="52" applyFont="1" applyFill="1" applyBorder="1" applyAlignment="1">
      <alignment horizontal="center" vertical="center" wrapText="1"/>
      <protection/>
    </xf>
    <xf numFmtId="0" fontId="8" fillId="14" borderId="65" xfId="0" applyFont="1" applyFill="1" applyBorder="1" applyAlignment="1">
      <alignment horizontal="center"/>
    </xf>
    <xf numFmtId="0" fontId="8" fillId="14" borderId="66" xfId="0" applyFont="1" applyFill="1" applyBorder="1" applyAlignment="1">
      <alignment horizontal="center"/>
    </xf>
    <xf numFmtId="0" fontId="8" fillId="14" borderId="67" xfId="0" applyFont="1" applyFill="1" applyBorder="1" applyAlignment="1">
      <alignment horizontal="center"/>
    </xf>
    <xf numFmtId="0" fontId="6" fillId="14" borderId="68" xfId="0" applyFont="1" applyFill="1" applyBorder="1" applyAlignment="1">
      <alignment horizontal="center" vertical="top"/>
    </xf>
    <xf numFmtId="0" fontId="6" fillId="14" borderId="69" xfId="0" applyFont="1" applyFill="1" applyBorder="1" applyAlignment="1">
      <alignment horizontal="center" vertical="top"/>
    </xf>
    <xf numFmtId="0" fontId="6" fillId="14" borderId="70" xfId="0" applyFont="1" applyFill="1" applyBorder="1" applyAlignment="1">
      <alignment horizontal="center" vertical="center"/>
    </xf>
    <xf numFmtId="0" fontId="6" fillId="14" borderId="71" xfId="0" applyFont="1" applyFill="1" applyBorder="1" applyAlignment="1">
      <alignment horizontal="center" vertical="center"/>
    </xf>
    <xf numFmtId="4" fontId="7" fillId="0" borderId="40" xfId="0" applyNumberFormat="1" applyFont="1" applyFill="1" applyBorder="1" applyAlignment="1">
      <alignment horizontal="center" wrapText="1"/>
    </xf>
    <xf numFmtId="0" fontId="8" fillId="35" borderId="7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vertical="center"/>
    </xf>
    <xf numFmtId="4" fontId="7" fillId="0" borderId="73" xfId="0" applyNumberFormat="1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left" vertical="center"/>
    </xf>
    <xf numFmtId="4" fontId="7" fillId="36" borderId="73" xfId="0" applyNumberFormat="1" applyFont="1" applyFill="1" applyBorder="1" applyAlignment="1">
      <alignment horizontal="center" vertical="center"/>
    </xf>
    <xf numFmtId="4" fontId="7" fillId="36" borderId="73" xfId="0" applyNumberFormat="1" applyFont="1" applyFill="1" applyBorder="1" applyAlignment="1">
      <alignment horizontal="center" wrapText="1"/>
    </xf>
    <xf numFmtId="4" fontId="7" fillId="0" borderId="73" xfId="0" applyNumberFormat="1" applyFont="1" applyFill="1" applyBorder="1" applyAlignment="1">
      <alignment horizontal="center" wrapText="1"/>
    </xf>
    <xf numFmtId="0" fontId="6" fillId="36" borderId="24" xfId="0" applyFont="1" applyFill="1" applyBorder="1" applyAlignment="1">
      <alignment horizontal="left" vertical="center"/>
    </xf>
    <xf numFmtId="4" fontId="7" fillId="36" borderId="74" xfId="0" applyNumberFormat="1" applyFont="1" applyFill="1" applyBorder="1" applyAlignment="1">
      <alignment horizontal="right"/>
    </xf>
    <xf numFmtId="4" fontId="7" fillId="36" borderId="75" xfId="0" applyNumberFormat="1" applyFont="1" applyFill="1" applyBorder="1" applyAlignment="1">
      <alignment horizontal="center" wrapText="1"/>
    </xf>
    <xf numFmtId="4" fontId="7" fillId="36" borderId="76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14" borderId="77" xfId="0" applyFont="1" applyFill="1" applyBorder="1" applyAlignment="1">
      <alignment horizontal="center" vertical="top"/>
    </xf>
    <xf numFmtId="10" fontId="9" fillId="36" borderId="14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/>
    </xf>
    <xf numFmtId="10" fontId="9" fillId="36" borderId="25" xfId="0" applyNumberFormat="1" applyFont="1" applyFill="1" applyBorder="1" applyAlignment="1">
      <alignment horizontal="center" vertical="center"/>
    </xf>
    <xf numFmtId="0" fontId="8" fillId="14" borderId="78" xfId="0" applyFont="1" applyFill="1" applyBorder="1" applyAlignment="1">
      <alignment horizontal="center"/>
    </xf>
    <xf numFmtId="0" fontId="6" fillId="14" borderId="79" xfId="0" applyFont="1" applyFill="1" applyBorder="1" applyAlignment="1">
      <alignment horizontal="center" vertical="top"/>
    </xf>
    <xf numFmtId="10" fontId="7" fillId="36" borderId="80" xfId="0" applyNumberFormat="1" applyFont="1" applyFill="1" applyBorder="1" applyAlignment="1">
      <alignment horizontal="center" vertical="center"/>
    </xf>
    <xf numFmtId="10" fontId="7" fillId="0" borderId="80" xfId="0" applyNumberFormat="1" applyFont="1" applyFill="1" applyBorder="1" applyAlignment="1">
      <alignment horizontal="center" vertical="center"/>
    </xf>
    <xf numFmtId="10" fontId="7" fillId="36" borderId="81" xfId="0" applyNumberFormat="1" applyFont="1" applyFill="1" applyBorder="1" applyAlignment="1">
      <alignment horizontal="center" vertical="center"/>
    </xf>
    <xf numFmtId="0" fontId="3" fillId="14" borderId="18" xfId="52" applyFont="1" applyFill="1" applyBorder="1" applyAlignment="1">
      <alignment horizontal="center" vertical="center" wrapText="1"/>
      <protection/>
    </xf>
    <xf numFmtId="4" fontId="5" fillId="33" borderId="82" xfId="52" applyNumberFormat="1" applyFont="1" applyFill="1" applyBorder="1" applyAlignment="1">
      <alignment horizontal="right" vertical="center" wrapText="1"/>
      <protection/>
    </xf>
    <xf numFmtId="4" fontId="4" fillId="0" borderId="83" xfId="52" applyNumberFormat="1" applyFont="1" applyFill="1" applyBorder="1" applyAlignment="1">
      <alignment horizontal="right" vertical="center" wrapText="1"/>
      <protection/>
    </xf>
    <xf numFmtId="4" fontId="5" fillId="33" borderId="83" xfId="52" applyNumberFormat="1" applyFont="1" applyFill="1" applyBorder="1" applyAlignment="1">
      <alignment horizontal="right" vertical="center" wrapText="1"/>
      <protection/>
    </xf>
    <xf numFmtId="4" fontId="4" fillId="0" borderId="82" xfId="52" applyNumberFormat="1" applyFont="1" applyBorder="1" applyAlignment="1">
      <alignment horizontal="right"/>
      <protection/>
    </xf>
    <xf numFmtId="4" fontId="5" fillId="33" borderId="84" xfId="52" applyNumberFormat="1" applyFont="1" applyFill="1" applyBorder="1" applyAlignment="1">
      <alignment horizontal="right" vertical="center" wrapText="1"/>
      <protection/>
    </xf>
    <xf numFmtId="4" fontId="3" fillId="0" borderId="28" xfId="52" applyNumberFormat="1" applyFont="1" applyFill="1" applyBorder="1" applyAlignment="1">
      <alignment horizontal="right" vertical="center" wrapText="1"/>
      <protection/>
    </xf>
    <xf numFmtId="4" fontId="3" fillId="0" borderId="51" xfId="52" applyNumberFormat="1" applyFont="1" applyFill="1" applyBorder="1" applyAlignment="1">
      <alignment horizontal="right" vertical="center" wrapText="1"/>
      <protection/>
    </xf>
    <xf numFmtId="4" fontId="3" fillId="0" borderId="41" xfId="52" applyNumberFormat="1" applyFont="1" applyFill="1" applyBorder="1" applyAlignment="1">
      <alignment horizontal="right" vertical="center" wrapText="1"/>
      <protection/>
    </xf>
    <xf numFmtId="4" fontId="3" fillId="0" borderId="27" xfId="52" applyNumberFormat="1" applyFont="1" applyFill="1" applyBorder="1" applyAlignment="1">
      <alignment horizontal="right" vertical="center" wrapText="1"/>
      <protection/>
    </xf>
    <xf numFmtId="0" fontId="3" fillId="35" borderId="56" xfId="53" applyFont="1" applyFill="1" applyBorder="1" applyAlignment="1">
      <alignment horizontal="left" vertical="center" wrapText="1"/>
      <protection/>
    </xf>
    <xf numFmtId="0" fontId="4" fillId="35" borderId="12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4" fontId="4" fillId="0" borderId="18" xfId="42" applyNumberFormat="1" applyFont="1" applyFill="1" applyBorder="1" applyAlignment="1">
      <alignment horizontal="right" vertical="center"/>
    </xf>
    <xf numFmtId="4" fontId="4" fillId="0" borderId="18" xfId="42" applyNumberFormat="1" applyFont="1" applyBorder="1" applyAlignment="1">
      <alignment horizontal="right" vertical="center"/>
    </xf>
    <xf numFmtId="4" fontId="4" fillId="35" borderId="18" xfId="42" applyNumberFormat="1" applyFont="1" applyFill="1" applyBorder="1" applyAlignment="1">
      <alignment horizontal="right" vertical="center"/>
    </xf>
    <xf numFmtId="4" fontId="3" fillId="35" borderId="18" xfId="42" applyNumberFormat="1" applyFont="1" applyFill="1" applyBorder="1" applyAlignment="1">
      <alignment horizontal="right" vertical="center"/>
    </xf>
    <xf numFmtId="4" fontId="4" fillId="0" borderId="21" xfId="42" applyNumberFormat="1" applyFont="1" applyBorder="1" applyAlignment="1">
      <alignment horizontal="right" vertical="center"/>
    </xf>
    <xf numFmtId="4" fontId="3" fillId="0" borderId="12" xfId="42" applyNumberFormat="1" applyFont="1" applyFill="1" applyBorder="1" applyAlignment="1">
      <alignment horizontal="right" vertical="center" wrapText="1"/>
    </xf>
    <xf numFmtId="4" fontId="3" fillId="0" borderId="18" xfId="42" applyNumberFormat="1" applyFont="1" applyFill="1" applyBorder="1" applyAlignment="1">
      <alignment horizontal="right" vertical="center" wrapText="1"/>
    </xf>
    <xf numFmtId="4" fontId="4" fillId="0" borderId="12" xfId="42" applyNumberFormat="1" applyFont="1" applyFill="1" applyBorder="1" applyAlignment="1">
      <alignment horizontal="right" vertical="center" wrapText="1"/>
    </xf>
    <xf numFmtId="4" fontId="3" fillId="35" borderId="12" xfId="42" applyNumberFormat="1" applyFont="1" applyFill="1" applyBorder="1" applyAlignment="1">
      <alignment horizontal="right" vertical="center" wrapText="1"/>
    </xf>
    <xf numFmtId="4" fontId="3" fillId="35" borderId="18" xfId="42" applyNumberFormat="1" applyFont="1" applyFill="1" applyBorder="1" applyAlignment="1">
      <alignment horizontal="right" vertical="center" wrapText="1"/>
    </xf>
    <xf numFmtId="4" fontId="3" fillId="35" borderId="12" xfId="42" applyNumberFormat="1" applyFont="1" applyFill="1" applyBorder="1" applyAlignment="1">
      <alignment horizontal="right" vertical="center"/>
    </xf>
    <xf numFmtId="4" fontId="4" fillId="0" borderId="18" xfId="42" applyNumberFormat="1" applyFont="1" applyFill="1" applyBorder="1" applyAlignment="1">
      <alignment horizontal="right" vertical="center" wrapText="1"/>
    </xf>
    <xf numFmtId="4" fontId="4" fillId="0" borderId="20" xfId="42" applyNumberFormat="1" applyFont="1" applyFill="1" applyBorder="1" applyAlignment="1">
      <alignment horizontal="right" vertical="center" wrapText="1"/>
    </xf>
    <xf numFmtId="43" fontId="33" fillId="0" borderId="0" xfId="0" applyNumberFormat="1" applyFont="1" applyAlignment="1">
      <alignment wrapText="1"/>
    </xf>
    <xf numFmtId="43" fontId="10" fillId="0" borderId="0" xfId="0" applyNumberFormat="1" applyFont="1" applyFill="1" applyBorder="1" applyAlignment="1">
      <alignment horizontal="center" wrapText="1"/>
    </xf>
    <xf numFmtId="4" fontId="0" fillId="0" borderId="85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5" xfId="0" applyBorder="1" applyAlignment="1">
      <alignment/>
    </xf>
    <xf numFmtId="0" fontId="33" fillId="0" borderId="86" xfId="0" applyFont="1" applyBorder="1" applyAlignment="1">
      <alignment horizontal="center"/>
    </xf>
    <xf numFmtId="0" fontId="33" fillId="0" borderId="87" xfId="0" applyFont="1" applyBorder="1" applyAlignment="1">
      <alignment horizontal="center"/>
    </xf>
    <xf numFmtId="0" fontId="33" fillId="0" borderId="8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9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2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6" fillId="0" borderId="95" xfId="0" applyFont="1" applyFill="1" applyBorder="1" applyAlignment="1">
      <alignment horizontal="justify"/>
    </xf>
    <xf numFmtId="0" fontId="6" fillId="0" borderId="96" xfId="0" applyFont="1" applyFill="1" applyBorder="1" applyAlignment="1">
      <alignment horizontal="justify"/>
    </xf>
    <xf numFmtId="0" fontId="8" fillId="14" borderId="97" xfId="0" applyFont="1" applyFill="1" applyBorder="1" applyAlignment="1">
      <alignment horizontal="center" vertical="center" wrapText="1"/>
    </xf>
    <xf numFmtId="0" fontId="8" fillId="14" borderId="40" xfId="0" applyFont="1" applyFill="1" applyBorder="1" applyAlignment="1">
      <alignment horizontal="center" vertical="center" wrapText="1"/>
    </xf>
    <xf numFmtId="0" fontId="8" fillId="14" borderId="98" xfId="0" applyFont="1" applyFill="1" applyBorder="1" applyAlignment="1">
      <alignment horizontal="center" vertical="center" wrapText="1"/>
    </xf>
    <xf numFmtId="0" fontId="8" fillId="14" borderId="73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left"/>
    </xf>
    <xf numFmtId="0" fontId="6" fillId="0" borderId="96" xfId="0" applyFont="1" applyFill="1" applyBorder="1" applyAlignment="1">
      <alignment horizontal="left"/>
    </xf>
    <xf numFmtId="0" fontId="6" fillId="0" borderId="100" xfId="0" applyFont="1" applyFill="1" applyBorder="1" applyAlignment="1">
      <alignment horizontal="center" vertical="top"/>
    </xf>
    <xf numFmtId="0" fontId="6" fillId="0" borderId="101" xfId="0" applyFont="1" applyFill="1" applyBorder="1" applyAlignment="1">
      <alignment horizontal="center" vertical="top"/>
    </xf>
    <xf numFmtId="0" fontId="6" fillId="35" borderId="95" xfId="0" applyFont="1" applyFill="1" applyBorder="1" applyAlignment="1">
      <alignment horizontal="justify" vertical="top"/>
    </xf>
    <xf numFmtId="0" fontId="6" fillId="35" borderId="96" xfId="0" applyFont="1" applyFill="1" applyBorder="1" applyAlignment="1">
      <alignment horizontal="justify" vertical="top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ilans_przekształceń" xfId="52"/>
    <cellStyle name="Normalny_Skonsolidowane sprawozdanie finansow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0</xdr:rowOff>
    </xdr:from>
    <xdr:to>
      <xdr:col>14</xdr:col>
      <xdr:colOff>76200</xdr:colOff>
      <xdr:row>38</xdr:row>
      <xdr:rowOff>28575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7124700" y="190500"/>
          <a:ext cx="4333875" cy="7115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Objaśnienia: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Wskaźnik rentowności operacyjnej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na działalności operacyjnej / przychody ze sprzedaży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określa, ile zysku netto (po opodatkowaniu) przypada na 1 złoty przychodów firmy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Wskaźnik rentowności EBITDA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(wynika na działalności operacyjnej+amortyzacja)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mierzy efektywność konwersji przychodów na zysk z działalności ciągłej przed odsetkami od zaciągniętych kredytów, podatkami, deprecjacją i amortyzacją oraz przed pozycjami wyjątkowymi.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netto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Wynik netto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inwestorów ile procent przychodów ze sprzedaży stanowi zysk netto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Wskaśnik rentowności kapitału własnego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(ROE)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Kapitał własny, gdzie: Kapitał własny = Aktywa ogółem - Zobowiązania (krótko i długoterminowe)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 stopę zyskowności zainwestowanych w firmie kapitałów własnych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majątku (ROA)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aktywa  ogółem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tym jaka jest rentowność wszystkich aktywów firmy w stosunku do wypracowanych przez nią zysków,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czy innymi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słowy ile zysku netto  przynosi każda złotówka zaangażowana w finansowanie majątku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Wskaźnik ogólnej płynności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aktywa obrotowe / zobowiązania krótkoterminowe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zdolności przedsiębiorstwa do regulowania zobowiązań w oparciu o wszystkie aktywa obrotowe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Wskaźnik ogólnego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zadłużenia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zobowiązania ogółem / aktywa rezem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mówi o tym jaki udział w finansowaniu majątku firmy mają zobowiązania i dług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AppData\Local\Temp\MB-Dane%20finansowe_2Q2014_Skonsolidowane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ZiS GK"/>
      <sheetName val="Sk. spr.z cał.doch.GK"/>
      <sheetName val="Bilans GK"/>
      <sheetName val="Zest.zmian w kap.wł. GK"/>
      <sheetName val="Rach.przep.pienięż GK"/>
      <sheetName val="Wybrane dane finansowe GK"/>
      <sheetName val="Kursy walut"/>
      <sheetName val="Wskaźniki finansowe GK"/>
    </sheetNames>
    <sheetDataSet>
      <sheetData sheetId="0">
        <row r="26">
          <cell r="C26">
            <v>531.470000000005</v>
          </cell>
          <cell r="D26">
            <v>388.64999999999634</v>
          </cell>
          <cell r="E26">
            <v>1491.1800000000048</v>
          </cell>
          <cell r="F26">
            <v>876.3099999999963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140625" style="115" customWidth="1"/>
    <col min="2" max="2" width="46.7109375" style="0" customWidth="1"/>
    <col min="3" max="4" width="12.57421875" style="54" customWidth="1"/>
    <col min="5" max="5" width="11.28125" style="54" customWidth="1"/>
    <col min="6" max="6" width="12.00390625" style="54" customWidth="1"/>
  </cols>
  <sheetData>
    <row r="1" ht="15.75" thickBot="1"/>
    <row r="2" spans="3:6" ht="16.5" thickBot="1" thickTop="1">
      <c r="C2" s="216" t="s">
        <v>29</v>
      </c>
      <c r="D2" s="217"/>
      <c r="E2" s="217"/>
      <c r="F2" s="218"/>
    </row>
    <row r="3" spans="2:6" ht="34.5" thickTop="1">
      <c r="B3" s="133"/>
      <c r="C3" s="9" t="s">
        <v>168</v>
      </c>
      <c r="D3" s="131" t="s">
        <v>169</v>
      </c>
      <c r="E3" s="134" t="s">
        <v>170</v>
      </c>
      <c r="F3" s="135" t="s">
        <v>171</v>
      </c>
    </row>
    <row r="4" spans="2:6" ht="15">
      <c r="B4" s="1" t="s">
        <v>0</v>
      </c>
      <c r="C4" s="94">
        <f>C5+C6</f>
        <v>25529.120000000003</v>
      </c>
      <c r="D4" s="125">
        <f>D6+D5</f>
        <v>24302.139999999996</v>
      </c>
      <c r="E4" s="121">
        <f>E5+E6</f>
        <v>53894.62</v>
      </c>
      <c r="F4" s="95">
        <f>F6+F5</f>
        <v>48480.189999999995</v>
      </c>
    </row>
    <row r="5" spans="2:6" ht="15">
      <c r="B5" s="2" t="s">
        <v>1</v>
      </c>
      <c r="C5" s="55">
        <v>20247.370000000003</v>
      </c>
      <c r="D5" s="126">
        <v>19310.839999999997</v>
      </c>
      <c r="E5" s="116">
        <v>42822.47</v>
      </c>
      <c r="F5" s="53">
        <v>38575.7</v>
      </c>
    </row>
    <row r="6" spans="2:6" ht="15">
      <c r="B6" s="2" t="s">
        <v>2</v>
      </c>
      <c r="C6" s="55">
        <v>5281.75</v>
      </c>
      <c r="D6" s="126">
        <v>4991.3</v>
      </c>
      <c r="E6" s="116">
        <v>11072.15</v>
      </c>
      <c r="F6" s="53">
        <v>9904.49</v>
      </c>
    </row>
    <row r="7" spans="2:6" ht="15">
      <c r="B7" s="1" t="s">
        <v>3</v>
      </c>
      <c r="C7" s="94">
        <f>C8+C9</f>
        <v>17351.55</v>
      </c>
      <c r="D7" s="127">
        <f>D9+D8</f>
        <v>16972.78</v>
      </c>
      <c r="E7" s="121">
        <f>E8+E9</f>
        <v>37289.06</v>
      </c>
      <c r="F7" s="95">
        <f>F9+F8</f>
        <v>34072.45</v>
      </c>
    </row>
    <row r="8" spans="2:6" ht="15">
      <c r="B8" s="2" t="s">
        <v>4</v>
      </c>
      <c r="C8" s="55">
        <v>14437.43</v>
      </c>
      <c r="D8" s="126">
        <v>13029.1</v>
      </c>
      <c r="E8" s="116">
        <v>29302.7</v>
      </c>
      <c r="F8" s="53">
        <v>26355.34</v>
      </c>
    </row>
    <row r="9" spans="2:6" ht="15">
      <c r="B9" s="2" t="s">
        <v>5</v>
      </c>
      <c r="C9" s="55">
        <v>2914.12</v>
      </c>
      <c r="D9" s="126">
        <v>3943.68</v>
      </c>
      <c r="E9" s="116">
        <v>7986.36</v>
      </c>
      <c r="F9" s="53">
        <v>7717.11</v>
      </c>
    </row>
    <row r="10" spans="2:10" ht="15">
      <c r="B10" s="7" t="s">
        <v>6</v>
      </c>
      <c r="C10" s="96">
        <f>C4-C7</f>
        <v>8177.570000000003</v>
      </c>
      <c r="D10" s="128">
        <f>D4-D7</f>
        <v>7329.359999999997</v>
      </c>
      <c r="E10" s="122">
        <f>E4-E7</f>
        <v>16605.560000000005</v>
      </c>
      <c r="F10" s="97">
        <f>F4-F7</f>
        <v>14407.739999999998</v>
      </c>
      <c r="G10" s="132"/>
      <c r="H10" s="132"/>
      <c r="I10" s="33"/>
      <c r="J10" s="33"/>
    </row>
    <row r="11" spans="2:7" ht="22.5">
      <c r="B11" s="2" t="s">
        <v>7</v>
      </c>
      <c r="C11" s="55">
        <v>0</v>
      </c>
      <c r="D11" s="126">
        <v>0</v>
      </c>
      <c r="E11" s="116">
        <v>0</v>
      </c>
      <c r="F11" s="53">
        <v>0</v>
      </c>
      <c r="G11" s="33"/>
    </row>
    <row r="12" spans="2:6" ht="15">
      <c r="B12" s="3" t="s">
        <v>8</v>
      </c>
      <c r="C12" s="55">
        <v>124.78999999999999</v>
      </c>
      <c r="D12" s="126">
        <v>82.67000000000002</v>
      </c>
      <c r="E12" s="116">
        <v>233.07</v>
      </c>
      <c r="F12" s="53">
        <v>225.3</v>
      </c>
    </row>
    <row r="13" spans="2:6" ht="15">
      <c r="B13" s="3" t="s">
        <v>9</v>
      </c>
      <c r="C13" s="55">
        <v>4506.379999999999</v>
      </c>
      <c r="D13" s="126">
        <v>4412.6900000000005</v>
      </c>
      <c r="E13" s="116">
        <v>8684.65</v>
      </c>
      <c r="F13" s="53">
        <v>8203.94</v>
      </c>
    </row>
    <row r="14" spans="2:6" ht="15">
      <c r="B14" s="3" t="s">
        <v>10</v>
      </c>
      <c r="C14" s="55">
        <v>3015.9</v>
      </c>
      <c r="D14" s="126">
        <v>2577.07</v>
      </c>
      <c r="E14" s="116">
        <v>6183.42</v>
      </c>
      <c r="F14" s="53">
        <v>5138.47</v>
      </c>
    </row>
    <row r="15" spans="2:6" ht="15">
      <c r="B15" s="3" t="s">
        <v>11</v>
      </c>
      <c r="C15" s="55">
        <v>0</v>
      </c>
      <c r="D15" s="126">
        <v>0</v>
      </c>
      <c r="E15" s="116">
        <v>0</v>
      </c>
      <c r="F15" s="53">
        <v>0</v>
      </c>
    </row>
    <row r="16" spans="2:6" ht="15">
      <c r="B16" s="3" t="s">
        <v>12</v>
      </c>
      <c r="C16" s="55">
        <v>33.739999999999995</v>
      </c>
      <c r="D16" s="126">
        <v>19.240000000000002</v>
      </c>
      <c r="E16" s="116">
        <v>53.93</v>
      </c>
      <c r="F16" s="53">
        <v>67.17</v>
      </c>
    </row>
    <row r="17" spans="2:8" ht="15">
      <c r="B17" s="7" t="s">
        <v>13</v>
      </c>
      <c r="C17" s="96">
        <f>C10+C11+C12-C13-C14-C15-C16</f>
        <v>746.3400000000049</v>
      </c>
      <c r="D17" s="128">
        <f>D10+D11+D12-D13-D14-D15-D16</f>
        <v>403.02999999999633</v>
      </c>
      <c r="E17" s="122">
        <f>E10+E11+E12-E13-E14-E15-E16</f>
        <v>1916.6300000000049</v>
      </c>
      <c r="F17" s="97">
        <f>F10+F11+F12-F13-F14-F15-F16</f>
        <v>1223.4599999999964</v>
      </c>
      <c r="G17" s="33"/>
      <c r="H17" s="33"/>
    </row>
    <row r="18" spans="2:6" ht="15">
      <c r="B18" s="3" t="s">
        <v>14</v>
      </c>
      <c r="C18" s="55">
        <v>0.9699999999999998</v>
      </c>
      <c r="D18" s="126">
        <v>15.830000000000002</v>
      </c>
      <c r="E18" s="116">
        <v>4.01</v>
      </c>
      <c r="F18" s="53">
        <v>24.78</v>
      </c>
    </row>
    <row r="19" spans="2:6" ht="15">
      <c r="B19" s="3" t="s">
        <v>15</v>
      </c>
      <c r="C19" s="55">
        <v>285.84</v>
      </c>
      <c r="D19" s="126">
        <v>82.70999999999998</v>
      </c>
      <c r="E19" s="116">
        <v>499.46</v>
      </c>
      <c r="F19" s="53">
        <v>424.43</v>
      </c>
    </row>
    <row r="20" spans="2:6" ht="22.5">
      <c r="B20" s="3" t="s">
        <v>16</v>
      </c>
      <c r="C20" s="55">
        <v>0</v>
      </c>
      <c r="D20" s="126">
        <v>0</v>
      </c>
      <c r="E20" s="116">
        <v>0</v>
      </c>
      <c r="F20" s="53">
        <v>0</v>
      </c>
    </row>
    <row r="21" spans="2:8" ht="15">
      <c r="B21" s="7" t="s">
        <v>17</v>
      </c>
      <c r="C21" s="96">
        <f>C17+C18-C19-C20</f>
        <v>461.470000000005</v>
      </c>
      <c r="D21" s="128">
        <f>D17+D18-D19-D20</f>
        <v>336.14999999999634</v>
      </c>
      <c r="E21" s="122">
        <f>E17+E18-E19+E20</f>
        <v>1421.1800000000048</v>
      </c>
      <c r="F21" s="97">
        <f>F17+F18-F19-F20</f>
        <v>823.8099999999963</v>
      </c>
      <c r="G21" s="33"/>
      <c r="H21" s="33"/>
    </row>
    <row r="22" spans="2:6" ht="15">
      <c r="B22" s="3" t="s">
        <v>18</v>
      </c>
      <c r="C22" s="55">
        <v>0</v>
      </c>
      <c r="D22" s="126">
        <v>0</v>
      </c>
      <c r="E22" s="116">
        <v>0</v>
      </c>
      <c r="F22" s="53">
        <v>0</v>
      </c>
    </row>
    <row r="23" spans="2:6" ht="22.5">
      <c r="B23" s="120" t="s">
        <v>19</v>
      </c>
      <c r="C23" s="116">
        <v>-70</v>
      </c>
      <c r="D23" s="126">
        <v>-52.5</v>
      </c>
      <c r="E23" s="116">
        <v>-70</v>
      </c>
      <c r="F23" s="53">
        <v>-52.5</v>
      </c>
    </row>
    <row r="24" spans="2:6" ht="15">
      <c r="B24" s="7" t="s">
        <v>20</v>
      </c>
      <c r="C24" s="96">
        <f>C21-C23-C22</f>
        <v>531.470000000005</v>
      </c>
      <c r="D24" s="128">
        <f>D21-D23</f>
        <v>388.64999999999634</v>
      </c>
      <c r="E24" s="122">
        <f>E21-E23-E22</f>
        <v>1491.1800000000048</v>
      </c>
      <c r="F24" s="97">
        <f>F21-F23</f>
        <v>876.3099999999963</v>
      </c>
    </row>
    <row r="25" spans="2:6" ht="15">
      <c r="B25" s="1" t="s">
        <v>21</v>
      </c>
      <c r="C25" s="96">
        <v>0</v>
      </c>
      <c r="D25" s="128">
        <v>0</v>
      </c>
      <c r="E25" s="122">
        <v>0</v>
      </c>
      <c r="F25" s="97">
        <v>0</v>
      </c>
    </row>
    <row r="26" spans="2:6" ht="15">
      <c r="B26" s="7" t="s">
        <v>22</v>
      </c>
      <c r="C26" s="190">
        <f>C24-C25</f>
        <v>531.470000000005</v>
      </c>
      <c r="D26" s="191">
        <f>D24</f>
        <v>388.64999999999634</v>
      </c>
      <c r="E26" s="192">
        <f>E24-E25</f>
        <v>1491.1800000000048</v>
      </c>
      <c r="F26" s="193">
        <f>F24</f>
        <v>876.3099999999963</v>
      </c>
    </row>
    <row r="27" spans="2:7" ht="21" customHeight="1">
      <c r="B27" s="120" t="s">
        <v>23</v>
      </c>
      <c r="C27" s="55">
        <f>C24</f>
        <v>531.470000000005</v>
      </c>
      <c r="D27" s="126">
        <f>D24</f>
        <v>388.64999999999634</v>
      </c>
      <c r="E27" s="116">
        <f>E24</f>
        <v>1491.1800000000048</v>
      </c>
      <c r="F27" s="53">
        <f>F24</f>
        <v>876.3099999999963</v>
      </c>
      <c r="G27" s="33"/>
    </row>
    <row r="28" spans="2:6" ht="22.5">
      <c r="B28" s="120" t="s">
        <v>19</v>
      </c>
      <c r="C28" s="55">
        <f>C23</f>
        <v>-70</v>
      </c>
      <c r="D28" s="126">
        <f>D23</f>
        <v>-52.5</v>
      </c>
      <c r="E28" s="116">
        <f>E23</f>
        <v>-70</v>
      </c>
      <c r="F28" s="53">
        <f>F23</f>
        <v>-52.5</v>
      </c>
    </row>
    <row r="29" spans="2:6" ht="15">
      <c r="B29" s="5" t="s">
        <v>24</v>
      </c>
      <c r="C29" s="96">
        <f aca="true" t="shared" si="0" ref="C29:C34">$C$27*1000/7198570</f>
        <v>0.07382994122443833</v>
      </c>
      <c r="D29" s="128">
        <f aca="true" t="shared" si="1" ref="D29:D34">$D$27*1000/7198570</f>
        <v>0.053989889658640024</v>
      </c>
      <c r="E29" s="122">
        <f aca="true" t="shared" si="2" ref="E29:E34">$E$27*1000/7198570</f>
        <v>0.2071494755208333</v>
      </c>
      <c r="F29" s="97">
        <f aca="true" t="shared" si="3" ref="F29:F34">$F$27*1000/7198570</f>
        <v>0.12173389992734616</v>
      </c>
    </row>
    <row r="30" spans="2:11" ht="15">
      <c r="B30" s="6" t="s">
        <v>25</v>
      </c>
      <c r="C30" s="101">
        <f t="shared" si="0"/>
        <v>0.07382994122443833</v>
      </c>
      <c r="D30" s="129">
        <f t="shared" si="1"/>
        <v>0.053989889658640024</v>
      </c>
      <c r="E30" s="123">
        <f t="shared" si="2"/>
        <v>0.2071494755208333</v>
      </c>
      <c r="F30" s="98">
        <f t="shared" si="3"/>
        <v>0.12173389992734616</v>
      </c>
      <c r="K30" s="43"/>
    </row>
    <row r="31" spans="2:11" ht="15">
      <c r="B31" s="6" t="s">
        <v>26</v>
      </c>
      <c r="C31" s="101">
        <f t="shared" si="0"/>
        <v>0.07382994122443833</v>
      </c>
      <c r="D31" s="129">
        <f t="shared" si="1"/>
        <v>0.053989889658640024</v>
      </c>
      <c r="E31" s="123">
        <f t="shared" si="2"/>
        <v>0.2071494755208333</v>
      </c>
      <c r="F31" s="98">
        <f t="shared" si="3"/>
        <v>0.12173389992734616</v>
      </c>
      <c r="K31" s="43"/>
    </row>
    <row r="32" spans="2:11" ht="22.5">
      <c r="B32" s="7" t="s">
        <v>27</v>
      </c>
      <c r="C32" s="96">
        <f t="shared" si="0"/>
        <v>0.07382994122443833</v>
      </c>
      <c r="D32" s="128">
        <f t="shared" si="1"/>
        <v>0.053989889658640024</v>
      </c>
      <c r="E32" s="122">
        <f t="shared" si="2"/>
        <v>0.2071494755208333</v>
      </c>
      <c r="F32" s="97">
        <f t="shared" si="3"/>
        <v>0.12173389992734616</v>
      </c>
      <c r="G32" s="42"/>
      <c r="K32" s="43"/>
    </row>
    <row r="33" spans="2:11" ht="15">
      <c r="B33" s="2" t="s">
        <v>25</v>
      </c>
      <c r="C33" s="101">
        <f t="shared" si="0"/>
        <v>0.07382994122443833</v>
      </c>
      <c r="D33" s="129">
        <f t="shared" si="1"/>
        <v>0.053989889658640024</v>
      </c>
      <c r="E33" s="123">
        <f t="shared" si="2"/>
        <v>0.2071494755208333</v>
      </c>
      <c r="F33" s="98">
        <f t="shared" si="3"/>
        <v>0.12173389992734616</v>
      </c>
      <c r="G33" s="42"/>
      <c r="K33" s="43"/>
    </row>
    <row r="34" spans="2:11" ht="15">
      <c r="B34" s="2" t="s">
        <v>26</v>
      </c>
      <c r="C34" s="101">
        <f t="shared" si="0"/>
        <v>0.07382994122443833</v>
      </c>
      <c r="D34" s="129">
        <f t="shared" si="1"/>
        <v>0.053989889658640024</v>
      </c>
      <c r="E34" s="123">
        <f t="shared" si="2"/>
        <v>0.2071494755208333</v>
      </c>
      <c r="F34" s="98">
        <f t="shared" si="3"/>
        <v>0.12173389992734616</v>
      </c>
      <c r="G34" s="42"/>
      <c r="K34" s="43"/>
    </row>
    <row r="35" spans="2:7" ht="23.25" thickBot="1">
      <c r="B35" s="8" t="s">
        <v>28</v>
      </c>
      <c r="C35" s="99">
        <v>0</v>
      </c>
      <c r="D35" s="130">
        <v>0</v>
      </c>
      <c r="E35" s="124">
        <v>0</v>
      </c>
      <c r="F35" s="100">
        <v>0</v>
      </c>
      <c r="G35" s="42"/>
    </row>
    <row r="36" ht="15.75" thickTop="1"/>
    <row r="37" s="54" customFormat="1" ht="15">
      <c r="A37" s="119"/>
    </row>
    <row r="38" s="54" customFormat="1" ht="15">
      <c r="A38" s="119"/>
    </row>
    <row r="39" s="54" customFormat="1" ht="15">
      <c r="A39" s="119"/>
    </row>
    <row r="40" s="54" customFormat="1" ht="15">
      <c r="A40" s="119"/>
    </row>
    <row r="41" s="54" customFormat="1" ht="15">
      <c r="A41" s="119"/>
    </row>
    <row r="42" ht="15">
      <c r="B42" s="54"/>
    </row>
  </sheetData>
  <sheetProtection/>
  <mergeCells count="1">
    <mergeCell ref="C2:F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  <ignoredErrors>
    <ignoredError sqref="D4:E4 D7:E7 E21 D26:E26 D24:E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61.7109375" style="0" customWidth="1"/>
    <col min="3" max="4" width="12.57421875" style="0" customWidth="1"/>
    <col min="5" max="5" width="11.140625" style="0" customWidth="1"/>
    <col min="6" max="6" width="12.57421875" style="0" customWidth="1"/>
  </cols>
  <sheetData>
    <row r="1" ht="15.75" thickBot="1"/>
    <row r="2" spans="3:6" ht="16.5" thickBot="1" thickTop="1">
      <c r="C2" s="219" t="s">
        <v>29</v>
      </c>
      <c r="D2" s="220"/>
      <c r="E2" s="220"/>
      <c r="F2" s="221"/>
    </row>
    <row r="3" spans="2:6" ht="36.75" customHeight="1" thickTop="1">
      <c r="B3" s="136"/>
      <c r="C3" s="9" t="s">
        <v>168</v>
      </c>
      <c r="D3" s="131" t="s">
        <v>169</v>
      </c>
      <c r="E3" s="134" t="s">
        <v>170</v>
      </c>
      <c r="F3" s="184" t="s">
        <v>171</v>
      </c>
    </row>
    <row r="4" spans="2:6" ht="15">
      <c r="B4" s="4" t="s">
        <v>22</v>
      </c>
      <c r="C4" s="87">
        <f>'RZiS GK'!C21</f>
        <v>461.470000000005</v>
      </c>
      <c r="D4" s="138">
        <f>'RZiS GK'!D21</f>
        <v>336.14999999999634</v>
      </c>
      <c r="E4" s="87">
        <f>'RZiS GK'!E21</f>
        <v>1421.1800000000048</v>
      </c>
      <c r="F4" s="185">
        <f>'RZiS GK'!F21</f>
        <v>823.8099999999963</v>
      </c>
    </row>
    <row r="5" spans="2:6" ht="15">
      <c r="B5" s="3" t="s">
        <v>77</v>
      </c>
      <c r="C5" s="55">
        <v>0</v>
      </c>
      <c r="D5" s="139">
        <v>0</v>
      </c>
      <c r="E5" s="116">
        <v>0</v>
      </c>
      <c r="F5" s="186">
        <v>0</v>
      </c>
    </row>
    <row r="6" spans="2:6" ht="22.5">
      <c r="B6" s="3" t="s">
        <v>78</v>
      </c>
      <c r="C6" s="55">
        <v>0</v>
      </c>
      <c r="D6" s="139">
        <v>0</v>
      </c>
      <c r="E6" s="116">
        <v>0</v>
      </c>
      <c r="F6" s="186">
        <v>0</v>
      </c>
    </row>
    <row r="7" spans="2:6" ht="22.5">
      <c r="B7" s="3" t="s">
        <v>79</v>
      </c>
      <c r="C7" s="55">
        <v>0</v>
      </c>
      <c r="D7" s="139">
        <v>0</v>
      </c>
      <c r="E7" s="116">
        <v>0</v>
      </c>
      <c r="F7" s="186">
        <v>0</v>
      </c>
    </row>
    <row r="8" spans="2:6" ht="15">
      <c r="B8" s="3" t="s">
        <v>80</v>
      </c>
      <c r="C8" s="55">
        <v>0</v>
      </c>
      <c r="D8" s="139">
        <v>0</v>
      </c>
      <c r="E8" s="116">
        <v>0</v>
      </c>
      <c r="F8" s="186">
        <v>0</v>
      </c>
    </row>
    <row r="9" spans="2:6" ht="15">
      <c r="B9" s="3" t="s">
        <v>81</v>
      </c>
      <c r="C9" s="55">
        <v>0</v>
      </c>
      <c r="D9" s="139">
        <v>0</v>
      </c>
      <c r="E9" s="116">
        <v>0</v>
      </c>
      <c r="F9" s="186">
        <v>0</v>
      </c>
    </row>
    <row r="10" spans="2:6" ht="15">
      <c r="B10" s="3" t="s">
        <v>82</v>
      </c>
      <c r="C10" s="55">
        <v>0</v>
      </c>
      <c r="D10" s="139">
        <v>0</v>
      </c>
      <c r="E10" s="116">
        <v>0</v>
      </c>
      <c r="F10" s="186">
        <v>0</v>
      </c>
    </row>
    <row r="11" spans="2:6" ht="15">
      <c r="B11" s="4" t="s">
        <v>83</v>
      </c>
      <c r="C11" s="87">
        <f>SUM(C4:C10)</f>
        <v>461.470000000005</v>
      </c>
      <c r="D11" s="138">
        <f>SUM(D4:D10)</f>
        <v>336.14999999999634</v>
      </c>
      <c r="E11" s="87">
        <f>SUM(E4:E10)</f>
        <v>1421.1800000000048</v>
      </c>
      <c r="F11" s="187">
        <f>SUM(F4:F10)</f>
        <v>823.8099999999963</v>
      </c>
    </row>
    <row r="12" spans="2:6" ht="15">
      <c r="B12" s="15" t="s">
        <v>84</v>
      </c>
      <c r="C12" s="88">
        <f>'RZiS GK'!C23</f>
        <v>-70</v>
      </c>
      <c r="D12" s="140">
        <f>'RZiS GK'!D23</f>
        <v>-52.5</v>
      </c>
      <c r="E12" s="88">
        <f>'RZiS GK'!E23</f>
        <v>-70</v>
      </c>
      <c r="F12" s="188">
        <f>'RZiS GK'!F23</f>
        <v>-52.5</v>
      </c>
    </row>
    <row r="13" spans="2:6" ht="15.75" thickBot="1">
      <c r="B13" s="16" t="s">
        <v>85</v>
      </c>
      <c r="C13" s="91">
        <f>'RZiS GK'!C27</f>
        <v>531.470000000005</v>
      </c>
      <c r="D13" s="141">
        <f>'RZiS GK'!D27</f>
        <v>388.64999999999634</v>
      </c>
      <c r="E13" s="137">
        <f>'RZiS GK'!E27</f>
        <v>1491.1800000000048</v>
      </c>
      <c r="F13" s="189">
        <f>'RZiS GK'!F27</f>
        <v>876.3099999999963</v>
      </c>
    </row>
    <row r="14" ht="15.75" thickTop="1"/>
  </sheetData>
  <sheetProtection/>
  <mergeCells count="1"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9"/>
  <sheetViews>
    <sheetView zoomScalePageLayoutView="0" workbookViewId="0" topLeftCell="A40">
      <selection activeCell="I57" sqref="I57"/>
    </sheetView>
  </sheetViews>
  <sheetFormatPr defaultColWidth="9.140625" defaultRowHeight="15"/>
  <cols>
    <col min="1" max="1" width="4.421875" style="0" customWidth="1"/>
    <col min="2" max="2" width="55.421875" style="0" customWidth="1"/>
    <col min="3" max="4" width="13.140625" style="54" customWidth="1"/>
    <col min="5" max="5" width="12.00390625" style="0" bestFit="1" customWidth="1"/>
    <col min="6" max="6" width="12.00390625" style="0" customWidth="1"/>
    <col min="7" max="7" width="12.7109375" style="0" customWidth="1"/>
  </cols>
  <sheetData>
    <row r="1" ht="15.75" thickBot="1">
      <c r="D1" s="108"/>
    </row>
    <row r="2" spans="3:4" ht="16.5" thickBot="1" thickTop="1">
      <c r="C2" s="222" t="s">
        <v>29</v>
      </c>
      <c r="D2" s="223"/>
    </row>
    <row r="3" spans="2:4" ht="25.5" customHeight="1" thickTop="1">
      <c r="B3" s="136" t="s">
        <v>50</v>
      </c>
      <c r="C3" s="142" t="s">
        <v>172</v>
      </c>
      <c r="D3" s="143" t="s">
        <v>173</v>
      </c>
    </row>
    <row r="4" spans="2:4" ht="15">
      <c r="B4" s="10" t="s">
        <v>30</v>
      </c>
      <c r="C4" s="102">
        <f>SUM(C5:C12)</f>
        <v>34815.67</v>
      </c>
      <c r="D4" s="109">
        <f>SUM(D5:D12)</f>
        <v>32069.37</v>
      </c>
    </row>
    <row r="5" spans="2:4" ht="15">
      <c r="B5" s="3" t="s">
        <v>31</v>
      </c>
      <c r="C5" s="55">
        <v>29641.01</v>
      </c>
      <c r="D5" s="53">
        <v>28137.71</v>
      </c>
    </row>
    <row r="6" spans="2:4" ht="15">
      <c r="B6" s="3" t="s">
        <v>32</v>
      </c>
      <c r="C6" s="55">
        <v>1795</v>
      </c>
      <c r="D6" s="53">
        <v>1400.15</v>
      </c>
    </row>
    <row r="7" spans="2:4" ht="15">
      <c r="B7" s="3" t="s">
        <v>33</v>
      </c>
      <c r="C7" s="55">
        <v>1051.69</v>
      </c>
      <c r="D7" s="53">
        <v>1075.51</v>
      </c>
    </row>
    <row r="8" spans="2:4" ht="15">
      <c r="B8" s="3" t="s">
        <v>34</v>
      </c>
      <c r="C8" s="55">
        <v>1649.43</v>
      </c>
      <c r="D8" s="53">
        <v>914.03</v>
      </c>
    </row>
    <row r="9" spans="2:4" ht="15">
      <c r="B9" s="3" t="s">
        <v>35</v>
      </c>
      <c r="C9" s="55">
        <v>0</v>
      </c>
      <c r="D9" s="53">
        <v>0</v>
      </c>
    </row>
    <row r="10" spans="2:4" ht="15">
      <c r="B10" s="3" t="s">
        <v>36</v>
      </c>
      <c r="C10" s="55">
        <v>0</v>
      </c>
      <c r="D10" s="53">
        <v>0</v>
      </c>
    </row>
    <row r="11" spans="2:4" ht="15">
      <c r="B11" s="3" t="s">
        <v>37</v>
      </c>
      <c r="C11" s="55">
        <v>143.54</v>
      </c>
      <c r="D11" s="53">
        <v>127.16</v>
      </c>
    </row>
    <row r="12" spans="2:4" ht="15">
      <c r="B12" s="3" t="s">
        <v>38</v>
      </c>
      <c r="C12" s="55">
        <v>535</v>
      </c>
      <c r="D12" s="53">
        <v>414.81</v>
      </c>
    </row>
    <row r="13" spans="2:6" ht="15">
      <c r="B13" s="11" t="s">
        <v>39</v>
      </c>
      <c r="C13" s="102">
        <f>SUM(C14:C22)</f>
        <v>44807.619999999995</v>
      </c>
      <c r="D13" s="109">
        <f>SUM(D14:D22)</f>
        <v>46747.43000000001</v>
      </c>
      <c r="E13" s="33"/>
      <c r="F13" s="33"/>
    </row>
    <row r="14" spans="2:4" ht="15">
      <c r="B14" s="3" t="s">
        <v>40</v>
      </c>
      <c r="C14" s="55">
        <v>25109.73</v>
      </c>
      <c r="D14" s="53">
        <v>24888.86</v>
      </c>
    </row>
    <row r="15" spans="2:4" ht="15">
      <c r="B15" s="3" t="s">
        <v>41</v>
      </c>
      <c r="C15" s="55">
        <f>17211.67</f>
        <v>17211.67</v>
      </c>
      <c r="D15" s="53">
        <v>16852.32</v>
      </c>
    </row>
    <row r="16" spans="2:4" ht="15">
      <c r="B16" s="3" t="s">
        <v>42</v>
      </c>
      <c r="C16" s="55">
        <v>0</v>
      </c>
      <c r="D16" s="53">
        <v>0</v>
      </c>
    </row>
    <row r="17" spans="2:4" ht="15">
      <c r="B17" s="3" t="s">
        <v>43</v>
      </c>
      <c r="C17" s="55">
        <f>44.06+542.44+537.86</f>
        <v>1124.3600000000001</v>
      </c>
      <c r="D17" s="53">
        <f>775.9+254.5+46.94</f>
        <v>1077.3400000000001</v>
      </c>
    </row>
    <row r="18" spans="2:4" ht="15">
      <c r="B18" s="3" t="s">
        <v>44</v>
      </c>
      <c r="C18" s="55">
        <v>0</v>
      </c>
      <c r="D18" s="53">
        <v>0</v>
      </c>
    </row>
    <row r="19" spans="2:4" ht="22.5">
      <c r="B19" s="3" t="s">
        <v>45</v>
      </c>
      <c r="C19" s="55">
        <v>0</v>
      </c>
      <c r="D19" s="53">
        <v>0</v>
      </c>
    </row>
    <row r="20" spans="2:4" ht="15">
      <c r="B20" s="3" t="s">
        <v>36</v>
      </c>
      <c r="C20" s="55">
        <v>0</v>
      </c>
      <c r="D20" s="53">
        <v>0</v>
      </c>
    </row>
    <row r="21" spans="2:4" ht="15">
      <c r="B21" s="3" t="s">
        <v>46</v>
      </c>
      <c r="C21" s="55">
        <v>1084.12</v>
      </c>
      <c r="D21" s="53">
        <v>3009.66</v>
      </c>
    </row>
    <row r="22" spans="2:4" ht="15">
      <c r="B22" s="3" t="s">
        <v>47</v>
      </c>
      <c r="C22" s="55">
        <v>277.74</v>
      </c>
      <c r="D22" s="53">
        <v>919.25</v>
      </c>
    </row>
    <row r="23" spans="2:4" ht="15">
      <c r="B23" s="11" t="s">
        <v>48</v>
      </c>
      <c r="C23" s="102">
        <v>0</v>
      </c>
      <c r="D23" s="109">
        <v>0</v>
      </c>
    </row>
    <row r="24" spans="2:6" ht="15.75" thickBot="1">
      <c r="B24" s="12" t="s">
        <v>49</v>
      </c>
      <c r="C24" s="103">
        <f>C4+C13</f>
        <v>79623.29</v>
      </c>
      <c r="D24" s="110">
        <f>D13+D4</f>
        <v>78816.8</v>
      </c>
      <c r="E24" s="33"/>
      <c r="F24" s="33"/>
    </row>
    <row r="25" ht="16.5" thickBot="1" thickTop="1"/>
    <row r="26" spans="3:4" ht="16.5" thickBot="1" thickTop="1">
      <c r="C26" s="222" t="s">
        <v>29</v>
      </c>
      <c r="D26" s="223"/>
    </row>
    <row r="27" spans="2:4" ht="23.25" thickTop="1">
      <c r="B27" s="136" t="s">
        <v>51</v>
      </c>
      <c r="C27" s="142" t="s">
        <v>172</v>
      </c>
      <c r="D27" s="143" t="s">
        <v>173</v>
      </c>
    </row>
    <row r="28" spans="2:7" ht="15">
      <c r="B28" s="11" t="s">
        <v>52</v>
      </c>
      <c r="C28" s="104">
        <f>SUM(C29:C37)</f>
        <v>39785.18</v>
      </c>
      <c r="D28" s="111">
        <f>SUM(D29:D37)</f>
        <v>38185.81</v>
      </c>
      <c r="E28" s="33"/>
      <c r="F28" s="33"/>
      <c r="G28" s="33"/>
    </row>
    <row r="29" spans="2:4" ht="15">
      <c r="B29" s="3" t="s">
        <v>53</v>
      </c>
      <c r="C29" s="105">
        <v>1799.64</v>
      </c>
      <c r="D29" s="112">
        <v>1799.64</v>
      </c>
    </row>
    <row r="30" spans="2:4" ht="15">
      <c r="B30" s="3" t="s">
        <v>54</v>
      </c>
      <c r="C30" s="105">
        <v>23815.49</v>
      </c>
      <c r="D30" s="112">
        <f>23815.49</f>
        <v>23815.49</v>
      </c>
    </row>
    <row r="31" spans="2:4" ht="15">
      <c r="B31" s="3" t="s">
        <v>55</v>
      </c>
      <c r="C31" s="105">
        <v>0</v>
      </c>
      <c r="D31" s="112">
        <v>0</v>
      </c>
    </row>
    <row r="32" spans="2:4" ht="15">
      <c r="B32" s="3" t="s">
        <v>56</v>
      </c>
      <c r="C32" s="105">
        <v>11879.87</v>
      </c>
      <c r="D32" s="112">
        <v>10433.93</v>
      </c>
    </row>
    <row r="33" spans="2:4" ht="15">
      <c r="B33" s="3" t="s">
        <v>57</v>
      </c>
      <c r="C33" s="105">
        <v>0</v>
      </c>
      <c r="D33" s="112">
        <v>0</v>
      </c>
    </row>
    <row r="34" spans="2:4" ht="15">
      <c r="B34" s="3" t="s">
        <v>58</v>
      </c>
      <c r="C34" s="105">
        <v>19</v>
      </c>
      <c r="D34" s="112">
        <v>19</v>
      </c>
    </row>
    <row r="35" spans="2:4" ht="15">
      <c r="B35" s="3" t="s">
        <v>59</v>
      </c>
      <c r="C35" s="105">
        <f>1082-C34</f>
        <v>1063</v>
      </c>
      <c r="D35" s="112">
        <f>1298.94-19</f>
        <v>1279.94</v>
      </c>
    </row>
    <row r="36" spans="2:4" ht="15">
      <c r="B36" s="3" t="s">
        <v>60</v>
      </c>
      <c r="C36" s="105">
        <v>1491.18</v>
      </c>
      <c r="D36" s="112">
        <f>'RZiS GK'!F26</f>
        <v>876.3099999999963</v>
      </c>
    </row>
    <row r="37" spans="2:4" ht="15">
      <c r="B37" s="3" t="s">
        <v>61</v>
      </c>
      <c r="C37" s="105">
        <f>-213-70</f>
        <v>-283</v>
      </c>
      <c r="D37" s="112">
        <v>-38.5</v>
      </c>
    </row>
    <row r="38" spans="2:6" ht="15">
      <c r="B38" s="11" t="s">
        <v>62</v>
      </c>
      <c r="C38" s="104">
        <f>SUM(C39:C45)</f>
        <v>3422.78</v>
      </c>
      <c r="D38" s="111">
        <f>SUM(D39:D45)</f>
        <v>4299.48</v>
      </c>
      <c r="E38" s="33"/>
      <c r="F38" s="33"/>
    </row>
    <row r="39" spans="2:7" ht="15">
      <c r="B39" s="3" t="s">
        <v>63</v>
      </c>
      <c r="C39" s="105">
        <v>1384.84</v>
      </c>
      <c r="D39" s="112">
        <v>2017.78</v>
      </c>
      <c r="E39" s="33"/>
      <c r="F39" s="33"/>
      <c r="G39" s="33"/>
    </row>
    <row r="40" spans="2:4" ht="15">
      <c r="B40" s="3" t="s">
        <v>64</v>
      </c>
      <c r="C40" s="105">
        <v>1261.21</v>
      </c>
      <c r="D40" s="112">
        <v>1359.92</v>
      </c>
    </row>
    <row r="41" spans="2:4" ht="15">
      <c r="B41" s="3" t="s">
        <v>65</v>
      </c>
      <c r="C41" s="105">
        <v>0</v>
      </c>
      <c r="D41" s="112">
        <v>0</v>
      </c>
    </row>
    <row r="42" spans="2:4" ht="15">
      <c r="B42" s="3" t="s">
        <v>66</v>
      </c>
      <c r="C42" s="105">
        <v>288.76</v>
      </c>
      <c r="D42" s="112">
        <v>277.7</v>
      </c>
    </row>
    <row r="43" spans="2:4" ht="15">
      <c r="B43" s="3" t="s">
        <v>67</v>
      </c>
      <c r="C43" s="105">
        <v>405.74</v>
      </c>
      <c r="D43" s="112">
        <f>783.5-185.86</f>
        <v>597.64</v>
      </c>
    </row>
    <row r="44" spans="2:4" ht="15">
      <c r="B44" s="3" t="s">
        <v>68</v>
      </c>
      <c r="C44" s="105">
        <v>82.23</v>
      </c>
      <c r="D44" s="112">
        <v>46.44</v>
      </c>
    </row>
    <row r="45" spans="2:5" ht="15">
      <c r="B45" s="3" t="s">
        <v>69</v>
      </c>
      <c r="C45" s="105">
        <v>0</v>
      </c>
      <c r="D45" s="112">
        <v>0</v>
      </c>
      <c r="E45" s="60"/>
    </row>
    <row r="46" spans="2:12" ht="15">
      <c r="B46" s="11" t="s">
        <v>70</v>
      </c>
      <c r="C46" s="104">
        <f>SUM(C47:C55)</f>
        <v>36415.33</v>
      </c>
      <c r="D46" s="111">
        <f>SUM(D47:D55)</f>
        <v>36331.51</v>
      </c>
      <c r="E46" s="212"/>
      <c r="F46" s="213"/>
      <c r="G46" s="214"/>
      <c r="H46" s="214"/>
      <c r="I46" s="214"/>
      <c r="J46" s="214"/>
      <c r="K46" s="214"/>
      <c r="L46" s="214"/>
    </row>
    <row r="47" spans="2:12" ht="15">
      <c r="B47" s="3" t="s">
        <v>63</v>
      </c>
      <c r="C47" s="105">
        <v>13250.52</v>
      </c>
      <c r="D47" s="112">
        <v>10561.51</v>
      </c>
      <c r="E47" s="212"/>
      <c r="F47" s="213"/>
      <c r="G47" s="213"/>
      <c r="H47" s="214"/>
      <c r="I47" s="214"/>
      <c r="J47" s="214"/>
      <c r="K47" s="214"/>
      <c r="L47" s="214"/>
    </row>
    <row r="48" spans="2:12" ht="15">
      <c r="B48" s="3" t="s">
        <v>64</v>
      </c>
      <c r="C48" s="105">
        <v>3117.27</v>
      </c>
      <c r="D48" s="112">
        <v>3030.02</v>
      </c>
      <c r="E48" s="212"/>
      <c r="F48" s="213"/>
      <c r="G48" s="214"/>
      <c r="H48" s="214"/>
      <c r="I48" s="214"/>
      <c r="J48" s="214"/>
      <c r="K48" s="214"/>
      <c r="L48" s="214"/>
    </row>
    <row r="49" spans="2:12" ht="15">
      <c r="B49" s="3" t="s">
        <v>71</v>
      </c>
      <c r="C49" s="105">
        <f>13036.2+635.32</f>
        <v>13671.52</v>
      </c>
      <c r="D49" s="112">
        <f>17896.52-2202.59+536.7</f>
        <v>16230.630000000001</v>
      </c>
      <c r="E49" s="215"/>
      <c r="F49" s="214"/>
      <c r="G49" s="214"/>
      <c r="H49" s="214"/>
      <c r="I49" s="214"/>
      <c r="J49" s="214"/>
      <c r="K49" s="214"/>
      <c r="L49" s="214"/>
    </row>
    <row r="50" spans="2:4" ht="15">
      <c r="B50" s="13" t="s">
        <v>72</v>
      </c>
      <c r="C50" s="105">
        <v>0</v>
      </c>
      <c r="D50" s="112">
        <v>0</v>
      </c>
    </row>
    <row r="51" spans="2:6" ht="15">
      <c r="B51" s="3" t="s">
        <v>73</v>
      </c>
      <c r="C51" s="105">
        <f>1581.87+1671.97+85.88+70.01</f>
        <v>3409.7300000000005</v>
      </c>
      <c r="D51" s="112">
        <f>1795.74+930.25+31.82</f>
        <v>2757.81</v>
      </c>
      <c r="E51" s="33"/>
      <c r="F51" s="33"/>
    </row>
    <row r="52" spans="2:4" ht="15">
      <c r="B52" s="3" t="s">
        <v>67</v>
      </c>
      <c r="C52" s="105">
        <v>135.86</v>
      </c>
      <c r="D52" s="112">
        <v>185.86</v>
      </c>
    </row>
    <row r="53" spans="2:4" ht="15">
      <c r="B53" s="3" t="s">
        <v>68</v>
      </c>
      <c r="C53" s="105">
        <v>167.86</v>
      </c>
      <c r="D53" s="112">
        <f>234.41-46.44</f>
        <v>187.97</v>
      </c>
    </row>
    <row r="54" spans="2:4" ht="15">
      <c r="B54" s="3" t="s">
        <v>69</v>
      </c>
      <c r="C54" s="105">
        <v>2662.57</v>
      </c>
      <c r="D54" s="112">
        <v>3377.71</v>
      </c>
    </row>
    <row r="55" spans="2:4" ht="23.25">
      <c r="B55" s="14" t="s">
        <v>74</v>
      </c>
      <c r="C55" s="105">
        <v>0</v>
      </c>
      <c r="D55" s="112">
        <v>0</v>
      </c>
    </row>
    <row r="56" spans="2:6" ht="15">
      <c r="B56" s="10" t="s">
        <v>75</v>
      </c>
      <c r="C56" s="104">
        <f>C28+C38+C46</f>
        <v>79623.29000000001</v>
      </c>
      <c r="D56" s="111">
        <f>D46+D38+D28</f>
        <v>78816.8</v>
      </c>
      <c r="E56" s="33"/>
      <c r="F56" s="33"/>
    </row>
    <row r="57" spans="2:4" ht="15.75" thickBot="1">
      <c r="B57" s="21" t="s">
        <v>76</v>
      </c>
      <c r="C57" s="106">
        <f>C56*1000/7198570</f>
        <v>11.060987112718223</v>
      </c>
      <c r="D57" s="113">
        <f>D56*1000/7198570</f>
        <v>10.948952361371772</v>
      </c>
    </row>
    <row r="58" ht="15.75" thickTop="1"/>
    <row r="59" spans="3:4" ht="15">
      <c r="C59" s="107"/>
      <c r="D59" s="107"/>
    </row>
  </sheetData>
  <sheetProtection/>
  <mergeCells count="2">
    <mergeCell ref="C2:D2"/>
    <mergeCell ref="C26:D2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7">
      <selection activeCell="M9" sqref="M9"/>
    </sheetView>
  </sheetViews>
  <sheetFormatPr defaultColWidth="9.140625" defaultRowHeight="15"/>
  <cols>
    <col min="1" max="1" width="2.57421875" style="0" customWidth="1"/>
    <col min="2" max="2" width="32.421875" style="0" customWidth="1"/>
    <col min="3" max="3" width="11.00390625" style="0" customWidth="1"/>
    <col min="4" max="4" width="13.00390625" style="0" customWidth="1"/>
    <col min="5" max="5" width="11.00390625" style="0" customWidth="1"/>
    <col min="6" max="7" width="12.00390625" style="0" customWidth="1"/>
    <col min="8" max="8" width="11.00390625" style="0" customWidth="1"/>
    <col min="9" max="9" width="13.28125" style="0" customWidth="1"/>
    <col min="10" max="10" width="13.421875" style="0" customWidth="1"/>
    <col min="11" max="11" width="12.00390625" style="0" customWidth="1"/>
    <col min="13" max="13" width="11.00390625" style="0" customWidth="1"/>
  </cols>
  <sheetData>
    <row r="1" spans="9:10" ht="15.75" thickBot="1">
      <c r="I1" s="89"/>
      <c r="J1" s="42"/>
    </row>
    <row r="2" spans="3:11" ht="16.5" thickBot="1" thickTop="1">
      <c r="C2" s="228" t="s">
        <v>29</v>
      </c>
      <c r="D2" s="229"/>
      <c r="E2" s="229"/>
      <c r="F2" s="229"/>
      <c r="G2" s="229"/>
      <c r="H2" s="229"/>
      <c r="I2" s="229"/>
      <c r="J2" s="229"/>
      <c r="K2" s="230"/>
    </row>
    <row r="3" spans="2:13" ht="68.25" thickTop="1">
      <c r="B3" s="144"/>
      <c r="C3" s="145" t="s">
        <v>53</v>
      </c>
      <c r="D3" s="145" t="s">
        <v>86</v>
      </c>
      <c r="E3" s="145" t="s">
        <v>56</v>
      </c>
      <c r="F3" s="145" t="s">
        <v>57</v>
      </c>
      <c r="G3" s="145" t="s">
        <v>185</v>
      </c>
      <c r="H3" s="145" t="s">
        <v>60</v>
      </c>
      <c r="I3" s="145" t="s">
        <v>87</v>
      </c>
      <c r="J3" s="147" t="s">
        <v>181</v>
      </c>
      <c r="K3" s="146" t="s">
        <v>88</v>
      </c>
      <c r="M3" s="33"/>
    </row>
    <row r="4" spans="2:13" ht="15" customHeight="1">
      <c r="B4" s="224" t="s">
        <v>174</v>
      </c>
      <c r="C4" s="225"/>
      <c r="D4" s="225"/>
      <c r="E4" s="225"/>
      <c r="F4" s="225"/>
      <c r="G4" s="225"/>
      <c r="H4" s="225"/>
      <c r="I4" s="225"/>
      <c r="J4" s="226"/>
      <c r="K4" s="227"/>
      <c r="M4" s="33"/>
    </row>
    <row r="5" spans="2:13" ht="15">
      <c r="B5" s="19" t="s">
        <v>166</v>
      </c>
      <c r="C5" s="56">
        <f>C27</f>
        <v>1799.64</v>
      </c>
      <c r="D5" s="56">
        <f>D27</f>
        <v>23815.49</v>
      </c>
      <c r="E5" s="56">
        <v>10454.87</v>
      </c>
      <c r="F5" s="56">
        <v>1425</v>
      </c>
      <c r="G5" s="56">
        <f>G27-216.94</f>
        <v>1082</v>
      </c>
      <c r="H5" s="56">
        <v>0</v>
      </c>
      <c r="I5" s="56">
        <f>SUM(C5:H5)</f>
        <v>38577</v>
      </c>
      <c r="J5" s="56">
        <v>-213</v>
      </c>
      <c r="K5" s="148">
        <f>I5+J5</f>
        <v>38364</v>
      </c>
      <c r="L5" s="33"/>
      <c r="M5" s="33"/>
    </row>
    <row r="6" spans="2:13" ht="15">
      <c r="B6" s="17" t="s">
        <v>89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114">
        <v>0</v>
      </c>
      <c r="K6" s="59">
        <f>I6+J6</f>
        <v>0</v>
      </c>
      <c r="M6" s="33"/>
    </row>
    <row r="7" spans="2:14" ht="15">
      <c r="B7" s="17" t="s">
        <v>90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114">
        <v>0</v>
      </c>
      <c r="K7" s="59">
        <f>I7+J7</f>
        <v>0</v>
      </c>
      <c r="M7" s="33"/>
      <c r="N7" s="33"/>
    </row>
    <row r="8" spans="2:13" ht="15">
      <c r="B8" s="19" t="s">
        <v>91</v>
      </c>
      <c r="C8" s="56">
        <f aca="true" t="shared" si="0" ref="C8:J8">C5+C6+C7</f>
        <v>1799.64</v>
      </c>
      <c r="D8" s="56">
        <f t="shared" si="0"/>
        <v>23815.49</v>
      </c>
      <c r="E8" s="56">
        <f t="shared" si="0"/>
        <v>10454.87</v>
      </c>
      <c r="F8" s="56">
        <f t="shared" si="0"/>
        <v>1425</v>
      </c>
      <c r="G8" s="56">
        <f t="shared" si="0"/>
        <v>1082</v>
      </c>
      <c r="H8" s="56">
        <f t="shared" si="0"/>
        <v>0</v>
      </c>
      <c r="I8" s="56">
        <f t="shared" si="0"/>
        <v>38577</v>
      </c>
      <c r="J8" s="56">
        <f t="shared" si="0"/>
        <v>-213</v>
      </c>
      <c r="K8" s="148">
        <f>I8+J8</f>
        <v>38364</v>
      </c>
      <c r="M8" s="33"/>
    </row>
    <row r="9" spans="2:13" ht="15">
      <c r="B9" s="17" t="s">
        <v>92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114">
        <v>0</v>
      </c>
      <c r="K9" s="59">
        <f aca="true" t="shared" si="1" ref="K9:K14">I9+J9</f>
        <v>0</v>
      </c>
      <c r="M9" s="33"/>
    </row>
    <row r="10" spans="2:13" ht="15">
      <c r="B10" s="17" t="s">
        <v>93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f>SUM(C10:H10)</f>
        <v>0</v>
      </c>
      <c r="J10" s="114">
        <v>0</v>
      </c>
      <c r="K10" s="59">
        <f t="shared" si="1"/>
        <v>0</v>
      </c>
      <c r="M10" s="33"/>
    </row>
    <row r="11" spans="2:13" ht="15">
      <c r="B11" s="17" t="s">
        <v>94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f>SUM(C11:H11)</f>
        <v>0</v>
      </c>
      <c r="J11" s="114">
        <v>0</v>
      </c>
      <c r="K11" s="59">
        <f t="shared" si="1"/>
        <v>0</v>
      </c>
      <c r="M11" s="33"/>
    </row>
    <row r="12" spans="2:13" ht="15">
      <c r="B12" s="18" t="s">
        <v>95</v>
      </c>
      <c r="C12" s="57">
        <v>0</v>
      </c>
      <c r="D12" s="57">
        <v>0</v>
      </c>
      <c r="E12" s="57">
        <v>1425</v>
      </c>
      <c r="F12" s="57">
        <v>-1425</v>
      </c>
      <c r="G12" s="57">
        <v>0</v>
      </c>
      <c r="H12" s="57">
        <v>0</v>
      </c>
      <c r="I12" s="57">
        <f>SUM(C12:H12)</f>
        <v>0</v>
      </c>
      <c r="J12" s="114">
        <v>0</v>
      </c>
      <c r="K12" s="59">
        <f t="shared" si="1"/>
        <v>0</v>
      </c>
      <c r="M12" s="33"/>
    </row>
    <row r="13" spans="2:11" ht="15">
      <c r="B13" s="17" t="s">
        <v>96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f>SUM(C13:H13)</f>
        <v>0</v>
      </c>
      <c r="J13" s="114">
        <v>0</v>
      </c>
      <c r="K13" s="59">
        <f t="shared" si="1"/>
        <v>0</v>
      </c>
    </row>
    <row r="14" spans="2:11" ht="15">
      <c r="B14" s="17" t="s">
        <v>97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1491.18</v>
      </c>
      <c r="I14" s="57">
        <f>SUM(C14:H14)</f>
        <v>1491.18</v>
      </c>
      <c r="J14" s="114">
        <v>-70</v>
      </c>
      <c r="K14" s="59">
        <f t="shared" si="1"/>
        <v>1421.18</v>
      </c>
    </row>
    <row r="15" spans="2:12" ht="15">
      <c r="B15" s="19" t="s">
        <v>175</v>
      </c>
      <c r="C15" s="56">
        <f aca="true" t="shared" si="2" ref="C15:J15">SUM(C8:C14)</f>
        <v>1799.64</v>
      </c>
      <c r="D15" s="56">
        <f t="shared" si="2"/>
        <v>23815.49</v>
      </c>
      <c r="E15" s="56">
        <f t="shared" si="2"/>
        <v>11879.87</v>
      </c>
      <c r="F15" s="56">
        <f t="shared" si="2"/>
        <v>0</v>
      </c>
      <c r="G15" s="56">
        <f t="shared" si="2"/>
        <v>1082</v>
      </c>
      <c r="H15" s="56">
        <f t="shared" si="2"/>
        <v>1491.18</v>
      </c>
      <c r="I15" s="56">
        <f t="shared" si="2"/>
        <v>40068.18</v>
      </c>
      <c r="J15" s="56">
        <f t="shared" si="2"/>
        <v>-283</v>
      </c>
      <c r="K15" s="148">
        <f>I15+J15</f>
        <v>39785.18</v>
      </c>
      <c r="L15" s="33"/>
    </row>
    <row r="16" spans="2:11" ht="15" customHeight="1">
      <c r="B16" s="224" t="s">
        <v>176</v>
      </c>
      <c r="C16" s="225"/>
      <c r="D16" s="225"/>
      <c r="E16" s="225"/>
      <c r="F16" s="225"/>
      <c r="G16" s="225"/>
      <c r="H16" s="225"/>
      <c r="I16" s="225"/>
      <c r="J16" s="226"/>
      <c r="K16" s="227"/>
    </row>
    <row r="17" spans="2:13" ht="15">
      <c r="B17" s="19" t="s">
        <v>167</v>
      </c>
      <c r="C17" s="56">
        <v>1799.64</v>
      </c>
      <c r="D17" s="56">
        <v>23815.49</v>
      </c>
      <c r="E17" s="56">
        <v>7386</v>
      </c>
      <c r="F17" s="56">
        <v>3047.93</v>
      </c>
      <c r="G17" s="56">
        <f>2144.66+3.94-842.66-7</f>
        <v>1298.94</v>
      </c>
      <c r="H17" s="56">
        <v>0</v>
      </c>
      <c r="I17" s="56">
        <f>SUM(C17:H17)</f>
        <v>37348.00000000001</v>
      </c>
      <c r="J17" s="56">
        <v>7</v>
      </c>
      <c r="K17" s="148">
        <f>I17+J17</f>
        <v>37355.00000000001</v>
      </c>
      <c r="M17" s="33"/>
    </row>
    <row r="18" spans="2:11" ht="15">
      <c r="B18" s="17" t="s">
        <v>89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f>SUM(C18:H18)</f>
        <v>0</v>
      </c>
      <c r="J18" s="114">
        <v>0</v>
      </c>
      <c r="K18" s="59">
        <f>I18+J18</f>
        <v>0</v>
      </c>
    </row>
    <row r="19" spans="2:11" ht="15">
      <c r="B19" s="17" t="s">
        <v>90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f>SUM(C19:H19)</f>
        <v>0</v>
      </c>
      <c r="J19" s="114">
        <v>0</v>
      </c>
      <c r="K19" s="59">
        <f>I19+J19</f>
        <v>0</v>
      </c>
    </row>
    <row r="20" spans="2:11" ht="15">
      <c r="B20" s="19" t="s">
        <v>91</v>
      </c>
      <c r="C20" s="56">
        <f aca="true" t="shared" si="3" ref="C20:J20">C17+C19+C18</f>
        <v>1799.64</v>
      </c>
      <c r="D20" s="56">
        <f t="shared" si="3"/>
        <v>23815.49</v>
      </c>
      <c r="E20" s="56">
        <f t="shared" si="3"/>
        <v>7386</v>
      </c>
      <c r="F20" s="56">
        <f t="shared" si="3"/>
        <v>3047.93</v>
      </c>
      <c r="G20" s="56">
        <f t="shared" si="3"/>
        <v>1298.94</v>
      </c>
      <c r="H20" s="56">
        <f t="shared" si="3"/>
        <v>0</v>
      </c>
      <c r="I20" s="56">
        <f t="shared" si="3"/>
        <v>37348.00000000001</v>
      </c>
      <c r="J20" s="56">
        <f t="shared" si="3"/>
        <v>7</v>
      </c>
      <c r="K20" s="148">
        <f>I20+J20</f>
        <v>37355.00000000001</v>
      </c>
    </row>
    <row r="21" spans="2:11" ht="15">
      <c r="B21" s="17" t="s">
        <v>92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f aca="true" t="shared" si="4" ref="I21:I26">SUM(C21:H21)</f>
        <v>0</v>
      </c>
      <c r="J21" s="114">
        <v>0</v>
      </c>
      <c r="K21" s="59">
        <f aca="true" t="shared" si="5" ref="K21:K26">I21+J21</f>
        <v>0</v>
      </c>
    </row>
    <row r="22" spans="2:11" ht="15">
      <c r="B22" s="17" t="s">
        <v>93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f t="shared" si="4"/>
        <v>0</v>
      </c>
      <c r="J22" s="114">
        <v>0</v>
      </c>
      <c r="K22" s="59">
        <f t="shared" si="5"/>
        <v>0</v>
      </c>
    </row>
    <row r="23" spans="2:11" ht="15">
      <c r="B23" s="17" t="s">
        <v>94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f t="shared" si="4"/>
        <v>0</v>
      </c>
      <c r="J23" s="114">
        <v>0</v>
      </c>
      <c r="K23" s="59">
        <f t="shared" si="5"/>
        <v>0</v>
      </c>
    </row>
    <row r="24" spans="2:11" ht="15">
      <c r="B24" s="18" t="s">
        <v>95</v>
      </c>
      <c r="C24" s="57">
        <v>0</v>
      </c>
      <c r="D24" s="57">
        <v>0</v>
      </c>
      <c r="E24" s="57">
        <v>3047.93</v>
      </c>
      <c r="F24" s="57">
        <v>-3047.93</v>
      </c>
      <c r="G24" s="57">
        <v>0</v>
      </c>
      <c r="H24" s="57">
        <v>0</v>
      </c>
      <c r="I24" s="57">
        <f t="shared" si="4"/>
        <v>0</v>
      </c>
      <c r="J24" s="114">
        <v>0</v>
      </c>
      <c r="K24" s="59">
        <f t="shared" si="5"/>
        <v>0</v>
      </c>
    </row>
    <row r="25" spans="2:11" ht="15">
      <c r="B25" s="17" t="s">
        <v>96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f t="shared" si="4"/>
        <v>0</v>
      </c>
      <c r="J25" s="114">
        <v>0</v>
      </c>
      <c r="K25" s="59">
        <f t="shared" si="5"/>
        <v>0</v>
      </c>
    </row>
    <row r="26" spans="2:11" ht="15">
      <c r="B26" s="17" t="s">
        <v>97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876.31</v>
      </c>
      <c r="I26" s="57">
        <f t="shared" si="4"/>
        <v>876.31</v>
      </c>
      <c r="J26" s="114">
        <v>-45.5</v>
      </c>
      <c r="K26" s="59">
        <f t="shared" si="5"/>
        <v>830.81</v>
      </c>
    </row>
    <row r="27" spans="2:12" ht="15.75" thickBot="1">
      <c r="B27" s="149" t="s">
        <v>177</v>
      </c>
      <c r="C27" s="58">
        <f aca="true" t="shared" si="6" ref="C27:J27">SUM(C20:C26)</f>
        <v>1799.64</v>
      </c>
      <c r="D27" s="58">
        <f t="shared" si="6"/>
        <v>23815.49</v>
      </c>
      <c r="E27" s="58">
        <f t="shared" si="6"/>
        <v>10433.93</v>
      </c>
      <c r="F27" s="58">
        <f t="shared" si="6"/>
        <v>0</v>
      </c>
      <c r="G27" s="58">
        <f t="shared" si="6"/>
        <v>1298.94</v>
      </c>
      <c r="H27" s="58">
        <f t="shared" si="6"/>
        <v>876.31</v>
      </c>
      <c r="I27" s="58">
        <f t="shared" si="6"/>
        <v>38224.310000000005</v>
      </c>
      <c r="J27" s="58">
        <f t="shared" si="6"/>
        <v>-38.5</v>
      </c>
      <c r="K27" s="150">
        <f>I27+J27</f>
        <v>38185.810000000005</v>
      </c>
      <c r="L27" s="33"/>
    </row>
    <row r="28" ht="15.75" thickTop="1"/>
  </sheetData>
  <sheetProtection/>
  <mergeCells count="3">
    <mergeCell ref="B4:K4"/>
    <mergeCell ref="B16:K16"/>
    <mergeCell ref="C2:K2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  <ignoredErrors>
    <ignoredError sqref="I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L41"/>
  <sheetViews>
    <sheetView zoomScalePageLayoutView="0" workbookViewId="0" topLeftCell="A25">
      <selection activeCell="G5" sqref="G5:G10"/>
    </sheetView>
  </sheetViews>
  <sheetFormatPr defaultColWidth="9.140625" defaultRowHeight="15"/>
  <cols>
    <col min="1" max="1" width="1.57421875" style="0" customWidth="1"/>
    <col min="2" max="2" width="44.57421875" style="0" customWidth="1"/>
    <col min="3" max="3" width="15.00390625" style="43" customWidth="1"/>
    <col min="4" max="4" width="13.421875" style="43" customWidth="1"/>
    <col min="5" max="6" width="13.140625" style="43" customWidth="1"/>
    <col min="7" max="7" width="50.7109375" style="0" customWidth="1"/>
    <col min="8" max="8" width="9.8515625" style="0" hidden="1" customWidth="1"/>
    <col min="9" max="9" width="9.140625" style="0" hidden="1" customWidth="1"/>
    <col min="10" max="10" width="9.8515625" style="0" hidden="1" customWidth="1"/>
    <col min="11" max="11" width="9.140625" style="0" hidden="1" customWidth="1"/>
    <col min="12" max="12" width="9.8515625" style="0" customWidth="1"/>
  </cols>
  <sheetData>
    <row r="1" spans="3:6" ht="15.75" thickBot="1">
      <c r="C1" s="54"/>
      <c r="D1" s="54"/>
      <c r="E1" s="54"/>
      <c r="F1" s="54"/>
    </row>
    <row r="2" spans="2:6" ht="16.5" thickBot="1" thickTop="1">
      <c r="B2" s="45"/>
      <c r="C2" s="231" t="s">
        <v>29</v>
      </c>
      <c r="D2" s="232"/>
      <c r="E2" s="232"/>
      <c r="F2" s="233"/>
    </row>
    <row r="3" spans="2:11" ht="35.25" thickBot="1" thickTop="1">
      <c r="B3" s="152"/>
      <c r="C3" s="151" t="s">
        <v>168</v>
      </c>
      <c r="D3" s="151" t="s">
        <v>169</v>
      </c>
      <c r="E3" s="153" t="s">
        <v>170</v>
      </c>
      <c r="F3" s="154" t="s">
        <v>171</v>
      </c>
      <c r="H3" s="61" t="s">
        <v>159</v>
      </c>
      <c r="I3" s="62" t="s">
        <v>160</v>
      </c>
      <c r="J3" s="61" t="s">
        <v>161</v>
      </c>
      <c r="K3" s="62" t="s">
        <v>162</v>
      </c>
    </row>
    <row r="4" spans="2:11" ht="15.75" thickTop="1">
      <c r="B4" s="46" t="s">
        <v>127</v>
      </c>
      <c r="C4" s="194"/>
      <c r="D4" s="194"/>
      <c r="E4" s="195"/>
      <c r="F4" s="196"/>
      <c r="H4" s="63"/>
      <c r="I4" s="64"/>
      <c r="J4" s="63"/>
      <c r="K4" s="64"/>
    </row>
    <row r="5" spans="2:11" ht="15">
      <c r="B5" s="47" t="s">
        <v>132</v>
      </c>
      <c r="C5" s="202">
        <f>'[1]RZiS GK'!C26</f>
        <v>531.470000000005</v>
      </c>
      <c r="D5" s="202">
        <f>'[1]RZiS GK'!D26</f>
        <v>388.64999999999634</v>
      </c>
      <c r="E5" s="202">
        <f>'[1]RZiS GK'!E26</f>
        <v>1491.1800000000048</v>
      </c>
      <c r="F5" s="203">
        <f>'[1]RZiS GK'!F26</f>
        <v>876.3099999999963</v>
      </c>
      <c r="G5" s="117"/>
      <c r="H5" s="65">
        <v>1139.44</v>
      </c>
      <c r="I5" s="66">
        <f>E5-H5</f>
        <v>351.7400000000048</v>
      </c>
      <c r="J5" s="65">
        <v>2693.95</v>
      </c>
      <c r="K5" s="66">
        <f>F5-J5</f>
        <v>-1817.6400000000035</v>
      </c>
    </row>
    <row r="6" spans="2:11" ht="15">
      <c r="B6" s="47" t="s">
        <v>133</v>
      </c>
      <c r="C6" s="202">
        <f>SUM(C7:C16)</f>
        <v>4739.02</v>
      </c>
      <c r="D6" s="202">
        <f>SUM(D7:D16)</f>
        <v>941.1599999999996</v>
      </c>
      <c r="E6" s="202">
        <f>SUM(E7:E16)</f>
        <v>-3563.7399999999993</v>
      </c>
      <c r="F6" s="203">
        <f>SUM(F7:F16)</f>
        <v>337.6899999999998</v>
      </c>
      <c r="G6" s="118"/>
      <c r="H6" s="67">
        <f>SUM(H7:H16)</f>
        <v>2899.1000000000004</v>
      </c>
      <c r="I6" s="66">
        <f aca="true" t="shared" si="0" ref="I6:I39">E6-H6</f>
        <v>-6462.84</v>
      </c>
      <c r="J6" s="67">
        <f>SUM(J7:J16)</f>
        <v>-2166.4300000000003</v>
      </c>
      <c r="K6" s="66">
        <f aca="true" t="shared" si="1" ref="K6:K39">F6-J6</f>
        <v>2504.12</v>
      </c>
    </row>
    <row r="7" spans="2:11" ht="22.5">
      <c r="B7" s="48" t="s">
        <v>134</v>
      </c>
      <c r="C7" s="204">
        <f>1604.99-796.24</f>
        <v>808.75</v>
      </c>
      <c r="D7" s="204">
        <f>1519.22-779.05</f>
        <v>740.1700000000001</v>
      </c>
      <c r="E7" s="204">
        <f>1586.39+18.6</f>
        <v>1604.99</v>
      </c>
      <c r="F7" s="197">
        <f>1519.22</f>
        <v>1519.22</v>
      </c>
      <c r="G7" s="49"/>
      <c r="H7" s="68">
        <v>2342.4</v>
      </c>
      <c r="I7" s="66">
        <f t="shared" si="0"/>
        <v>-737.4100000000001</v>
      </c>
      <c r="J7" s="68">
        <v>2450.75</v>
      </c>
      <c r="K7" s="66">
        <f t="shared" si="1"/>
        <v>-931.53</v>
      </c>
    </row>
    <row r="8" spans="2:11" ht="15">
      <c r="B8" s="48" t="s">
        <v>135</v>
      </c>
      <c r="C8" s="204">
        <v>-43.18</v>
      </c>
      <c r="D8" s="204">
        <v>-153.24</v>
      </c>
      <c r="E8" s="204">
        <v>47.82</v>
      </c>
      <c r="F8" s="198">
        <v>15.98</v>
      </c>
      <c r="H8" s="69">
        <v>103.26</v>
      </c>
      <c r="I8" s="66">
        <f t="shared" si="0"/>
        <v>-55.440000000000005</v>
      </c>
      <c r="J8" s="69">
        <v>-406.4</v>
      </c>
      <c r="K8" s="66">
        <f t="shared" si="1"/>
        <v>422.38</v>
      </c>
    </row>
    <row r="9" spans="2:11" ht="15">
      <c r="B9" s="48" t="s">
        <v>136</v>
      </c>
      <c r="C9" s="204">
        <v>198.89</v>
      </c>
      <c r="D9" s="204">
        <v>247.18</v>
      </c>
      <c r="E9" s="204">
        <v>379.2</v>
      </c>
      <c r="F9" s="198">
        <v>450.91</v>
      </c>
      <c r="G9" s="210"/>
      <c r="H9" s="69">
        <v>0</v>
      </c>
      <c r="I9" s="66">
        <f t="shared" si="0"/>
        <v>379.2</v>
      </c>
      <c r="J9" s="69">
        <v>-1799.64</v>
      </c>
      <c r="K9" s="66">
        <f t="shared" si="1"/>
        <v>2250.55</v>
      </c>
    </row>
    <row r="10" spans="2:11" ht="15">
      <c r="B10" s="48" t="s">
        <v>137</v>
      </c>
      <c r="C10" s="204">
        <v>-2.12</v>
      </c>
      <c r="D10" s="204">
        <v>-0.11</v>
      </c>
      <c r="E10" s="204">
        <v>-2.12</v>
      </c>
      <c r="F10" s="198">
        <v>-0.11</v>
      </c>
      <c r="G10" s="211"/>
      <c r="H10" s="69">
        <v>0</v>
      </c>
      <c r="I10" s="66">
        <f t="shared" si="0"/>
        <v>-2.12</v>
      </c>
      <c r="J10" s="69">
        <v>-15</v>
      </c>
      <c r="K10" s="66">
        <f t="shared" si="1"/>
        <v>14.89</v>
      </c>
    </row>
    <row r="11" spans="2:11" ht="15">
      <c r="B11" s="48" t="s">
        <v>138</v>
      </c>
      <c r="C11" s="204">
        <v>2238.33</v>
      </c>
      <c r="D11" s="204">
        <v>462.94</v>
      </c>
      <c r="E11" s="204">
        <v>2060.84</v>
      </c>
      <c r="F11" s="198">
        <v>273.85</v>
      </c>
      <c r="H11" s="69">
        <v>458.28</v>
      </c>
      <c r="I11" s="66">
        <f t="shared" si="0"/>
        <v>1602.5600000000002</v>
      </c>
      <c r="J11" s="69">
        <v>354.06</v>
      </c>
      <c r="K11" s="66">
        <f t="shared" si="1"/>
        <v>-80.20999999999998</v>
      </c>
    </row>
    <row r="12" spans="2:11" ht="15">
      <c r="B12" s="48" t="s">
        <v>139</v>
      </c>
      <c r="C12" s="204">
        <v>257.15</v>
      </c>
      <c r="D12" s="204">
        <v>-3655</v>
      </c>
      <c r="E12" s="204">
        <v>2145.49</v>
      </c>
      <c r="F12" s="198">
        <v>-3430.8</v>
      </c>
      <c r="H12" s="69">
        <v>-3657.07</v>
      </c>
      <c r="I12" s="66">
        <f t="shared" si="0"/>
        <v>5802.5599999999995</v>
      </c>
      <c r="J12" s="69">
        <v>-4246.87</v>
      </c>
      <c r="K12" s="66">
        <f t="shared" si="1"/>
        <v>816.0699999999997</v>
      </c>
    </row>
    <row r="13" spans="2:11" ht="15">
      <c r="B13" s="48" t="s">
        <v>140</v>
      </c>
      <c r="C13" s="204">
        <v>7599.55</v>
      </c>
      <c r="D13" s="204">
        <v>2561</v>
      </c>
      <c r="E13" s="204">
        <v>1014.01</v>
      </c>
      <c r="F13" s="198">
        <v>6525.54</v>
      </c>
      <c r="H13" s="69">
        <v>-717.75</v>
      </c>
      <c r="I13" s="66">
        <f t="shared" si="0"/>
        <v>1731.76</v>
      </c>
      <c r="J13" s="69">
        <v>793.42</v>
      </c>
      <c r="K13" s="66">
        <f t="shared" si="1"/>
        <v>5732.12</v>
      </c>
    </row>
    <row r="14" spans="2:11" ht="22.5">
      <c r="B14" s="48" t="s">
        <v>141</v>
      </c>
      <c r="C14" s="204">
        <f>-2710.08-2.75</f>
        <v>-2712.83</v>
      </c>
      <c r="D14" s="204">
        <f>2598.47-168.06+0.22</f>
        <v>2430.6299999999997</v>
      </c>
      <c r="E14" s="204">
        <f>-8557.03+170.87</f>
        <v>-8386.16</v>
      </c>
      <c r="F14" s="198">
        <f>-3357.26-168.06+0.22</f>
        <v>-3525.1000000000004</v>
      </c>
      <c r="H14" s="69">
        <v>5115.09</v>
      </c>
      <c r="I14" s="66">
        <f t="shared" si="0"/>
        <v>-13501.25</v>
      </c>
      <c r="J14" s="69">
        <v>1242.94</v>
      </c>
      <c r="K14" s="66">
        <f t="shared" si="1"/>
        <v>-4768.040000000001</v>
      </c>
    </row>
    <row r="15" spans="2:11" ht="15">
      <c r="B15" s="48" t="s">
        <v>142</v>
      </c>
      <c r="C15" s="204">
        <v>-3605.52</v>
      </c>
      <c r="D15" s="204">
        <v>-1692.41</v>
      </c>
      <c r="E15" s="204">
        <v>-2427.81</v>
      </c>
      <c r="F15" s="198">
        <v>-1491.8</v>
      </c>
      <c r="H15" s="69">
        <v>-745.11</v>
      </c>
      <c r="I15" s="66">
        <f t="shared" si="0"/>
        <v>-1682.6999999999998</v>
      </c>
      <c r="J15" s="69">
        <v>-599.43</v>
      </c>
      <c r="K15" s="66">
        <f t="shared" si="1"/>
        <v>-892.37</v>
      </c>
    </row>
    <row r="16" spans="2:11" ht="15">
      <c r="B16" s="48" t="s">
        <v>143</v>
      </c>
      <c r="C16" s="204">
        <v>0</v>
      </c>
      <c r="D16" s="204">
        <v>0</v>
      </c>
      <c r="E16" s="204">
        <v>0</v>
      </c>
      <c r="F16" s="198">
        <v>0</v>
      </c>
      <c r="H16" s="69">
        <v>0</v>
      </c>
      <c r="I16" s="66">
        <f t="shared" si="0"/>
        <v>0</v>
      </c>
      <c r="J16" s="69">
        <v>59.74</v>
      </c>
      <c r="K16" s="66">
        <f t="shared" si="1"/>
        <v>-59.74</v>
      </c>
    </row>
    <row r="17" spans="2:12" ht="22.5">
      <c r="B17" s="50" t="s">
        <v>144</v>
      </c>
      <c r="C17" s="205">
        <f>C5+C6</f>
        <v>5270.490000000005</v>
      </c>
      <c r="D17" s="205">
        <f>D5+D6</f>
        <v>1329.8099999999959</v>
      </c>
      <c r="E17" s="205">
        <f>E5+E6</f>
        <v>-2072.5599999999945</v>
      </c>
      <c r="F17" s="206">
        <f>F5+F6</f>
        <v>1213.9999999999961</v>
      </c>
      <c r="G17" s="60"/>
      <c r="H17" s="70">
        <f>H5+H6</f>
        <v>4038.5400000000004</v>
      </c>
      <c r="I17" s="66">
        <f t="shared" si="0"/>
        <v>-6111.099999999995</v>
      </c>
      <c r="J17" s="70">
        <f>J5+J6</f>
        <v>527.5199999999995</v>
      </c>
      <c r="K17" s="66">
        <f t="shared" si="1"/>
        <v>686.4799999999966</v>
      </c>
      <c r="L17" s="60"/>
    </row>
    <row r="18" spans="2:11" ht="15">
      <c r="B18" s="46" t="s">
        <v>128</v>
      </c>
      <c r="C18" s="205"/>
      <c r="D18" s="205"/>
      <c r="E18" s="205"/>
      <c r="F18" s="199"/>
      <c r="H18" s="71"/>
      <c r="I18" s="66">
        <f t="shared" si="0"/>
        <v>0</v>
      </c>
      <c r="J18" s="71"/>
      <c r="K18" s="66">
        <f t="shared" si="1"/>
        <v>0</v>
      </c>
    </row>
    <row r="19" spans="2:11" ht="15">
      <c r="B19" s="47" t="s">
        <v>129</v>
      </c>
      <c r="C19" s="202">
        <f>SUM(C20:C23)</f>
        <v>2.12</v>
      </c>
      <c r="D19" s="202">
        <f>SUM(D20:D23)</f>
        <v>0.11</v>
      </c>
      <c r="E19" s="202">
        <f>SUM(E20:E23)</f>
        <v>2.12</v>
      </c>
      <c r="F19" s="203">
        <f>SUM(F20:F23)</f>
        <v>0.11</v>
      </c>
      <c r="H19" s="67">
        <f>H20+H21+H22+H23</f>
        <v>26.47</v>
      </c>
      <c r="I19" s="66">
        <f t="shared" si="0"/>
        <v>-24.349999999999998</v>
      </c>
      <c r="J19" s="67">
        <f>J20+J21+J22+J23</f>
        <v>14.77</v>
      </c>
      <c r="K19" s="66">
        <f t="shared" si="1"/>
        <v>-14.66</v>
      </c>
    </row>
    <row r="20" spans="2:11" ht="22.5">
      <c r="B20" s="48" t="s">
        <v>145</v>
      </c>
      <c r="C20" s="204">
        <v>2.12</v>
      </c>
      <c r="D20" s="204">
        <v>0.11</v>
      </c>
      <c r="E20" s="204">
        <v>2.12</v>
      </c>
      <c r="F20" s="198">
        <v>0.11</v>
      </c>
      <c r="H20" s="72">
        <v>26.47</v>
      </c>
      <c r="I20" s="66">
        <f t="shared" si="0"/>
        <v>-24.349999999999998</v>
      </c>
      <c r="J20" s="72">
        <v>14.77</v>
      </c>
      <c r="K20" s="66">
        <f t="shared" si="1"/>
        <v>-14.66</v>
      </c>
    </row>
    <row r="21" spans="2:11" ht="22.5">
      <c r="B21" s="48" t="s">
        <v>146</v>
      </c>
      <c r="C21" s="204">
        <v>0</v>
      </c>
      <c r="D21" s="204">
        <v>0</v>
      </c>
      <c r="E21" s="204">
        <v>0</v>
      </c>
      <c r="F21" s="198">
        <v>0</v>
      </c>
      <c r="H21" s="72">
        <v>0</v>
      </c>
      <c r="I21" s="66">
        <f t="shared" si="0"/>
        <v>0</v>
      </c>
      <c r="J21" s="72">
        <v>0</v>
      </c>
      <c r="K21" s="66">
        <f t="shared" si="1"/>
        <v>0</v>
      </c>
    </row>
    <row r="22" spans="2:11" ht="15">
      <c r="B22" s="48" t="s">
        <v>147</v>
      </c>
      <c r="C22" s="204">
        <v>0</v>
      </c>
      <c r="D22" s="204">
        <v>0</v>
      </c>
      <c r="E22" s="204">
        <v>0</v>
      </c>
      <c r="F22" s="198">
        <v>0</v>
      </c>
      <c r="H22" s="72">
        <v>0</v>
      </c>
      <c r="I22" s="66">
        <f t="shared" si="0"/>
        <v>0</v>
      </c>
      <c r="J22" s="72">
        <v>0</v>
      </c>
      <c r="K22" s="66">
        <f t="shared" si="1"/>
        <v>0</v>
      </c>
    </row>
    <row r="23" spans="2:11" ht="15">
      <c r="B23" s="48" t="s">
        <v>148</v>
      </c>
      <c r="C23" s="204">
        <v>0</v>
      </c>
      <c r="D23" s="204">
        <v>0</v>
      </c>
      <c r="E23" s="204">
        <v>0</v>
      </c>
      <c r="F23" s="198">
        <v>0</v>
      </c>
      <c r="H23" s="72">
        <v>0</v>
      </c>
      <c r="I23" s="66">
        <f t="shared" si="0"/>
        <v>0</v>
      </c>
      <c r="J23" s="72">
        <v>0</v>
      </c>
      <c r="K23" s="66">
        <f t="shared" si="1"/>
        <v>0</v>
      </c>
    </row>
    <row r="24" spans="2:11" ht="15">
      <c r="B24" s="47" t="s">
        <v>130</v>
      </c>
      <c r="C24" s="202">
        <f>SUM(C25:C28)</f>
        <v>804.7</v>
      </c>
      <c r="D24" s="202">
        <f>D25+D26+D27+D28</f>
        <v>81.87</v>
      </c>
      <c r="E24" s="202">
        <f>E25+E26+E27+E28</f>
        <v>1056.1</v>
      </c>
      <c r="F24" s="203">
        <f>F25+F26+F27+F28</f>
        <v>134.78</v>
      </c>
      <c r="H24" s="67">
        <f>H25+H26+H27+H28</f>
        <v>2957.2400000000002</v>
      </c>
      <c r="I24" s="66">
        <f t="shared" si="0"/>
        <v>-1901.1400000000003</v>
      </c>
      <c r="J24" s="67">
        <f>J25+J26+J27+J28</f>
        <v>1936.23</v>
      </c>
      <c r="K24" s="66">
        <f t="shared" si="1"/>
        <v>-1801.45</v>
      </c>
    </row>
    <row r="25" spans="2:11" ht="22.5">
      <c r="B25" s="48" t="s">
        <v>149</v>
      </c>
      <c r="C25" s="204">
        <v>804.7</v>
      </c>
      <c r="D25" s="204">
        <v>81.87</v>
      </c>
      <c r="E25" s="204">
        <v>1056.1</v>
      </c>
      <c r="F25" s="198">
        <v>134.78</v>
      </c>
      <c r="H25" s="72">
        <v>2232.92</v>
      </c>
      <c r="I25" s="66">
        <f t="shared" si="0"/>
        <v>-1176.8200000000002</v>
      </c>
      <c r="J25" s="72">
        <v>1728.59</v>
      </c>
      <c r="K25" s="66">
        <f t="shared" si="1"/>
        <v>-1593.81</v>
      </c>
    </row>
    <row r="26" spans="2:11" ht="22.5">
      <c r="B26" s="48" t="s">
        <v>150</v>
      </c>
      <c r="C26" s="204">
        <v>0</v>
      </c>
      <c r="D26" s="204">
        <v>0</v>
      </c>
      <c r="E26" s="204">
        <v>0</v>
      </c>
      <c r="F26" s="198">
        <v>0</v>
      </c>
      <c r="H26" s="72">
        <v>0</v>
      </c>
      <c r="I26" s="66">
        <f t="shared" si="0"/>
        <v>0</v>
      </c>
      <c r="J26" s="72">
        <v>0</v>
      </c>
      <c r="K26" s="66">
        <f t="shared" si="1"/>
        <v>0</v>
      </c>
    </row>
    <row r="27" spans="2:11" ht="15">
      <c r="B27" s="48" t="s">
        <v>163</v>
      </c>
      <c r="C27" s="204">
        <v>0</v>
      </c>
      <c r="D27" s="204">
        <v>0</v>
      </c>
      <c r="E27" s="204">
        <v>0</v>
      </c>
      <c r="F27" s="198">
        <v>0</v>
      </c>
      <c r="H27" s="73">
        <v>724.32</v>
      </c>
      <c r="I27" s="66">
        <f t="shared" si="0"/>
        <v>-724.32</v>
      </c>
      <c r="J27" s="73">
        <v>207.64</v>
      </c>
      <c r="K27" s="66">
        <f t="shared" si="1"/>
        <v>-207.64</v>
      </c>
    </row>
    <row r="28" spans="2:11" ht="15">
      <c r="B28" s="48" t="s">
        <v>151</v>
      </c>
      <c r="C28" s="204">
        <v>0</v>
      </c>
      <c r="D28" s="204">
        <v>0</v>
      </c>
      <c r="E28" s="204">
        <v>0</v>
      </c>
      <c r="F28" s="198">
        <v>0</v>
      </c>
      <c r="H28" s="73">
        <v>0</v>
      </c>
      <c r="I28" s="66">
        <f t="shared" si="0"/>
        <v>0</v>
      </c>
      <c r="J28" s="73">
        <v>0</v>
      </c>
      <c r="K28" s="66">
        <f t="shared" si="1"/>
        <v>0</v>
      </c>
    </row>
    <row r="29" spans="2:11" ht="22.5">
      <c r="B29" s="50" t="s">
        <v>152</v>
      </c>
      <c r="C29" s="205">
        <f>C19-C24</f>
        <v>-802.58</v>
      </c>
      <c r="D29" s="205">
        <f>D19-D24</f>
        <v>-81.76</v>
      </c>
      <c r="E29" s="205">
        <f>E19-E24</f>
        <v>-1053.98</v>
      </c>
      <c r="F29" s="206">
        <f>F19-F24</f>
        <v>-134.67</v>
      </c>
      <c r="H29" s="70">
        <f>H19-H24</f>
        <v>-2930.7700000000004</v>
      </c>
      <c r="I29" s="66">
        <f t="shared" si="0"/>
        <v>1876.7900000000004</v>
      </c>
      <c r="J29" s="70">
        <f>J19-J24</f>
        <v>-1921.46</v>
      </c>
      <c r="K29" s="66">
        <f t="shared" si="1"/>
        <v>1786.79</v>
      </c>
    </row>
    <row r="30" spans="2:11" ht="15">
      <c r="B30" s="46" t="s">
        <v>131</v>
      </c>
      <c r="C30" s="205"/>
      <c r="D30" s="205"/>
      <c r="E30" s="205"/>
      <c r="F30" s="199"/>
      <c r="H30" s="74"/>
      <c r="I30" s="66">
        <f t="shared" si="0"/>
        <v>0</v>
      </c>
      <c r="J30" s="74"/>
      <c r="K30" s="66">
        <f t="shared" si="1"/>
        <v>0</v>
      </c>
    </row>
    <row r="31" spans="2:11" ht="15">
      <c r="B31" s="47" t="s">
        <v>129</v>
      </c>
      <c r="C31" s="202">
        <v>0</v>
      </c>
      <c r="D31" s="204">
        <v>685.21</v>
      </c>
      <c r="E31" s="204">
        <v>1169.4</v>
      </c>
      <c r="F31" s="198">
        <v>804.67</v>
      </c>
      <c r="H31" s="72">
        <v>1212.4</v>
      </c>
      <c r="I31" s="66">
        <f t="shared" si="0"/>
        <v>-43</v>
      </c>
      <c r="J31" s="72">
        <v>3255.17</v>
      </c>
      <c r="K31" s="66">
        <f t="shared" si="1"/>
        <v>-2450.5</v>
      </c>
    </row>
    <row r="32" spans="2:11" ht="15">
      <c r="B32" s="47" t="s">
        <v>130</v>
      </c>
      <c r="C32" s="202">
        <v>5723.2</v>
      </c>
      <c r="D32" s="204">
        <v>1596.61</v>
      </c>
      <c r="E32" s="204">
        <v>1340.26</v>
      </c>
      <c r="F32" s="198">
        <v>2203.79</v>
      </c>
      <c r="H32" s="72">
        <v>2580.95</v>
      </c>
      <c r="I32" s="66">
        <f t="shared" si="0"/>
        <v>-1240.6899999999998</v>
      </c>
      <c r="J32" s="72">
        <v>2523.48</v>
      </c>
      <c r="K32" s="66">
        <f t="shared" si="1"/>
        <v>-319.69000000000005</v>
      </c>
    </row>
    <row r="33" spans="2:11" ht="22.5">
      <c r="B33" s="50" t="s">
        <v>153</v>
      </c>
      <c r="C33" s="205">
        <f>C31-C32</f>
        <v>-5723.2</v>
      </c>
      <c r="D33" s="205">
        <f>D31-D32</f>
        <v>-911.3999999999999</v>
      </c>
      <c r="E33" s="205">
        <f>E31-E32</f>
        <v>-170.8599999999999</v>
      </c>
      <c r="F33" s="206">
        <f>F31-F32</f>
        <v>-1399.12</v>
      </c>
      <c r="H33" s="70">
        <f>H31-H32</f>
        <v>-1368.5499999999997</v>
      </c>
      <c r="I33" s="66">
        <f t="shared" si="0"/>
        <v>1197.6899999999998</v>
      </c>
      <c r="J33" s="70">
        <f>J31-J32</f>
        <v>731.69</v>
      </c>
      <c r="K33" s="66">
        <f t="shared" si="1"/>
        <v>-2130.81</v>
      </c>
    </row>
    <row r="34" spans="2:11" ht="22.5">
      <c r="B34" s="46" t="s">
        <v>154</v>
      </c>
      <c r="C34" s="205">
        <f>C33+C29+C17</f>
        <v>-1255.2899999999945</v>
      </c>
      <c r="D34" s="205">
        <f>D33+D29+D17</f>
        <v>336.649999999996</v>
      </c>
      <c r="E34" s="205">
        <f>E33+E29+E17</f>
        <v>-3297.399999999994</v>
      </c>
      <c r="F34" s="206">
        <f>F33+F29+F17</f>
        <v>-319.79000000000383</v>
      </c>
      <c r="H34" s="75">
        <f>H33+H29+H17</f>
        <v>-260.7799999999993</v>
      </c>
      <c r="I34" s="66">
        <f t="shared" si="0"/>
        <v>-3036.619999999995</v>
      </c>
      <c r="J34" s="75">
        <f>J33+J29+J17</f>
        <v>-662.2500000000005</v>
      </c>
      <c r="K34" s="66">
        <f t="shared" si="1"/>
        <v>342.4599999999966</v>
      </c>
    </row>
    <row r="35" spans="2:11" ht="22.5">
      <c r="B35" s="46" t="s">
        <v>155</v>
      </c>
      <c r="C35" s="207">
        <f>C38-C37</f>
        <v>-1255.29</v>
      </c>
      <c r="D35" s="207">
        <f>D38-D37</f>
        <v>336.65</v>
      </c>
      <c r="E35" s="207">
        <f>E38-E37</f>
        <v>-3297.4</v>
      </c>
      <c r="F35" s="200">
        <f>F38-F37</f>
        <v>-319.78999999999996</v>
      </c>
      <c r="G35" s="60"/>
      <c r="H35" s="76">
        <f>H38-H37</f>
        <v>74.96000000000004</v>
      </c>
      <c r="I35" s="66">
        <f t="shared" si="0"/>
        <v>-3372.36</v>
      </c>
      <c r="J35" s="76">
        <f>J38-J37</f>
        <v>-662.25</v>
      </c>
      <c r="K35" s="66">
        <f t="shared" si="1"/>
        <v>342.46000000000004</v>
      </c>
    </row>
    <row r="36" spans="2:11" ht="22.5">
      <c r="B36" s="51" t="s">
        <v>156</v>
      </c>
      <c r="C36" s="204">
        <v>0</v>
      </c>
      <c r="D36" s="204" t="s">
        <v>186</v>
      </c>
      <c r="E36" s="204">
        <v>0</v>
      </c>
      <c r="F36" s="208">
        <v>0</v>
      </c>
      <c r="H36" s="72">
        <v>0</v>
      </c>
      <c r="I36" s="66">
        <f t="shared" si="0"/>
        <v>0</v>
      </c>
      <c r="J36" s="72">
        <v>0</v>
      </c>
      <c r="K36" s="66">
        <f t="shared" si="1"/>
        <v>0</v>
      </c>
    </row>
    <row r="37" spans="2:11" ht="15">
      <c r="B37" s="46" t="s">
        <v>126</v>
      </c>
      <c r="C37" s="205">
        <v>1533.02</v>
      </c>
      <c r="D37" s="207">
        <v>582.6</v>
      </c>
      <c r="E37" s="205">
        <v>3575.13</v>
      </c>
      <c r="F37" s="200">
        <v>1239.04</v>
      </c>
      <c r="H37" s="76">
        <v>889.91</v>
      </c>
      <c r="I37" s="66">
        <f t="shared" si="0"/>
        <v>2685.2200000000003</v>
      </c>
      <c r="J37" s="76">
        <v>1098.09</v>
      </c>
      <c r="K37" s="66">
        <f t="shared" si="1"/>
        <v>140.95000000000005</v>
      </c>
    </row>
    <row r="38" spans="2:11" ht="15">
      <c r="B38" s="46" t="s">
        <v>157</v>
      </c>
      <c r="C38" s="205">
        <v>277.73</v>
      </c>
      <c r="D38" s="207">
        <v>919.25</v>
      </c>
      <c r="E38" s="205">
        <v>277.73</v>
      </c>
      <c r="F38" s="200">
        <v>919.25</v>
      </c>
      <c r="H38" s="76">
        <v>964.87</v>
      </c>
      <c r="I38" s="66">
        <f t="shared" si="0"/>
        <v>-687.14</v>
      </c>
      <c r="J38" s="76">
        <v>435.84</v>
      </c>
      <c r="K38" s="66">
        <f t="shared" si="1"/>
        <v>483.41</v>
      </c>
    </row>
    <row r="39" spans="2:11" ht="15.75" thickBot="1">
      <c r="B39" s="52" t="s">
        <v>158</v>
      </c>
      <c r="C39" s="209">
        <v>0</v>
      </c>
      <c r="D39" s="209">
        <v>0</v>
      </c>
      <c r="E39" s="209">
        <v>0</v>
      </c>
      <c r="F39" s="201">
        <v>0</v>
      </c>
      <c r="H39" s="77">
        <v>0</v>
      </c>
      <c r="I39" s="66">
        <f t="shared" si="0"/>
        <v>0</v>
      </c>
      <c r="J39" s="77">
        <v>0</v>
      </c>
      <c r="K39" s="66">
        <f t="shared" si="1"/>
        <v>0</v>
      </c>
    </row>
    <row r="40" spans="8:10" ht="15.75" thickTop="1">
      <c r="H40" s="43"/>
      <c r="J40" s="43"/>
    </row>
    <row r="41" spans="3:5" ht="15">
      <c r="C41" s="90"/>
      <c r="D41" s="90"/>
      <c r="E41" s="90"/>
    </row>
  </sheetData>
  <sheetProtection/>
  <mergeCells count="1">
    <mergeCell ref="C2:F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  <ignoredErrors>
    <ignoredError sqref="D3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3:N32"/>
  <sheetViews>
    <sheetView zoomScalePageLayoutView="0" workbookViewId="0" topLeftCell="A16">
      <selection activeCell="C20" sqref="C20"/>
    </sheetView>
  </sheetViews>
  <sheetFormatPr defaultColWidth="9.140625" defaultRowHeight="15"/>
  <cols>
    <col min="1" max="1" width="3.28125" style="0" customWidth="1"/>
    <col min="2" max="2" width="39.28125" style="0" customWidth="1"/>
    <col min="3" max="12" width="10.140625" style="0" customWidth="1"/>
  </cols>
  <sheetData>
    <row r="2" ht="15.75" thickBot="1"/>
    <row r="3" spans="2:12" ht="15" customHeight="1" thickTop="1">
      <c r="B3" s="234"/>
      <c r="C3" s="163" t="s">
        <v>178</v>
      </c>
      <c r="D3" s="163" t="s">
        <v>178</v>
      </c>
      <c r="E3" s="163" t="s">
        <v>178</v>
      </c>
      <c r="F3" s="163" t="s">
        <v>178</v>
      </c>
      <c r="G3" s="236" t="s">
        <v>98</v>
      </c>
      <c r="H3" s="163" t="s">
        <v>179</v>
      </c>
      <c r="I3" s="163" t="s">
        <v>179</v>
      </c>
      <c r="J3" s="163" t="s">
        <v>179</v>
      </c>
      <c r="K3" s="163" t="s">
        <v>179</v>
      </c>
      <c r="L3" s="238" t="s">
        <v>98</v>
      </c>
    </row>
    <row r="4" spans="2:12" ht="15">
      <c r="B4" s="235"/>
      <c r="C4" s="20" t="s">
        <v>164</v>
      </c>
      <c r="D4" s="20" t="s">
        <v>99</v>
      </c>
      <c r="E4" s="20" t="s">
        <v>165</v>
      </c>
      <c r="F4" s="20" t="s">
        <v>100</v>
      </c>
      <c r="G4" s="237"/>
      <c r="H4" s="20" t="s">
        <v>164</v>
      </c>
      <c r="I4" s="20" t="s">
        <v>99</v>
      </c>
      <c r="J4" s="20" t="s">
        <v>165</v>
      </c>
      <c r="K4" s="20" t="s">
        <v>100</v>
      </c>
      <c r="L4" s="239"/>
    </row>
    <row r="5" spans="2:14" ht="15">
      <c r="B5" s="164" t="s">
        <v>0</v>
      </c>
      <c r="C5" s="78">
        <f>'RZiS GK'!C4</f>
        <v>25529.120000000003</v>
      </c>
      <c r="D5" s="78">
        <f>'RZiS GK'!D4</f>
        <v>24302.139999999996</v>
      </c>
      <c r="E5" s="80">
        <f>C5/'Kursy walut'!$D$6</f>
        <v>6125.910639727409</v>
      </c>
      <c r="F5" s="78">
        <f>D5/'Kursy walut'!$D$5</f>
        <v>5712.639571237158</v>
      </c>
      <c r="G5" s="82">
        <f>(C5/D5)*100</f>
        <v>105.04885577977909</v>
      </c>
      <c r="H5" s="80">
        <f>'RZiS GK'!E4</f>
        <v>53894.62</v>
      </c>
      <c r="I5" s="80">
        <f>'RZiS GK'!F4</f>
        <v>48480.189999999995</v>
      </c>
      <c r="J5" s="78">
        <f>H5/'Kursy walut'!$E$6</f>
        <v>12898.386942370285</v>
      </c>
      <c r="K5" s="78">
        <f>I5/'Kursy walut'!$E$5</f>
        <v>11504.553868058849</v>
      </c>
      <c r="L5" s="165">
        <f>(H5/I5)*100</f>
        <v>111.16833494258171</v>
      </c>
      <c r="N5" s="33"/>
    </row>
    <row r="6" spans="2:12" ht="15">
      <c r="B6" s="166" t="s">
        <v>101</v>
      </c>
      <c r="C6" s="79">
        <f>'Rach.przep.pienięż GK'!C7</f>
        <v>808.75</v>
      </c>
      <c r="D6" s="79">
        <f>'Rach.przep.pienięż GK'!D7</f>
        <v>740.1700000000001</v>
      </c>
      <c r="E6" s="81">
        <f>C6/'Kursy walut'!$D$6</f>
        <v>194.0658444113836</v>
      </c>
      <c r="F6" s="79">
        <f>D6/'Kursy walut'!$D$5</f>
        <v>173.98979807714912</v>
      </c>
      <c r="G6" s="83">
        <f aca="true" t="shared" si="0" ref="G6:G13">(C6/D6)*100</f>
        <v>109.26543902076548</v>
      </c>
      <c r="H6" s="81">
        <f>'Rach.przep.pienięż GK'!E7</f>
        <v>1604.99</v>
      </c>
      <c r="I6" s="81">
        <f>'Rach.przep.pienięż GK'!F7</f>
        <v>1519.22</v>
      </c>
      <c r="J6" s="79">
        <f>H6/'Kursy walut'!$E$6</f>
        <v>384.1159295424086</v>
      </c>
      <c r="K6" s="79">
        <f>I6/'Kursy walut'!$E$5</f>
        <v>360.5173232083531</v>
      </c>
      <c r="L6" s="167">
        <f aca="true" t="shared" si="1" ref="L6:L13">(H6/I6)*100</f>
        <v>105.64566027303484</v>
      </c>
    </row>
    <row r="7" spans="2:12" ht="15">
      <c r="B7" s="164" t="s">
        <v>102</v>
      </c>
      <c r="C7" s="78">
        <f>'RZiS GK'!C10</f>
        <v>8177.570000000003</v>
      </c>
      <c r="D7" s="78">
        <f>'RZiS GK'!D10</f>
        <v>7329.359999999997</v>
      </c>
      <c r="E7" s="80">
        <f>C7/'Kursy walut'!$D$6</f>
        <v>1962.271440226521</v>
      </c>
      <c r="F7" s="78">
        <f>D7/'Kursy walut'!$D$5</f>
        <v>1722.8932089043503</v>
      </c>
      <c r="G7" s="82">
        <f t="shared" si="0"/>
        <v>111.57277033738289</v>
      </c>
      <c r="H7" s="80">
        <f>'RZiS GK'!E10</f>
        <v>16605.560000000005</v>
      </c>
      <c r="I7" s="80">
        <f>'RZiS GK'!F10</f>
        <v>14407.739999999998</v>
      </c>
      <c r="J7" s="78">
        <f>H7/'Kursy walut'!$E$6</f>
        <v>3974.1432127130015</v>
      </c>
      <c r="K7" s="78">
        <f>I7/'Kursy walut'!$E$5</f>
        <v>3419.0175605125764</v>
      </c>
      <c r="L7" s="165">
        <f t="shared" si="1"/>
        <v>115.25443962758911</v>
      </c>
    </row>
    <row r="8" spans="2:12" ht="15">
      <c r="B8" s="166" t="s">
        <v>103</v>
      </c>
      <c r="C8" s="78">
        <v>825.24</v>
      </c>
      <c r="D8" s="79">
        <v>564.91</v>
      </c>
      <c r="E8" s="81">
        <f>C8/'Kursy walut'!$D$6</f>
        <v>198.02274799635265</v>
      </c>
      <c r="F8" s="79">
        <f>D8/'Kursy walut'!$D$5</f>
        <v>132.7918948778825</v>
      </c>
      <c r="G8" s="83">
        <f t="shared" si="0"/>
        <v>146.08344692074843</v>
      </c>
      <c r="H8" s="81">
        <f>'RZiS GK'!E10-'RZiS GK'!E13-'RZiS GK'!E14</f>
        <v>1737.4900000000052</v>
      </c>
      <c r="I8" s="81">
        <f>'RZiS GK'!F10-'RZiS GK'!F13-'RZiS GK'!F14</f>
        <v>1065.3299999999972</v>
      </c>
      <c r="J8" s="79">
        <f>H8/'Kursy walut'!$E$6</f>
        <v>415.82663220371563</v>
      </c>
      <c r="K8" s="79">
        <f>I8/'Kursy walut'!$E$5</f>
        <v>252.80730897009897</v>
      </c>
      <c r="L8" s="167">
        <f t="shared" si="1"/>
        <v>163.09406474989063</v>
      </c>
    </row>
    <row r="9" spans="2:12" ht="15">
      <c r="B9" s="164" t="s">
        <v>104</v>
      </c>
      <c r="C9" s="78">
        <f>'RZiS GK'!C17</f>
        <v>746.3400000000049</v>
      </c>
      <c r="D9" s="78">
        <f>'RZiS GK'!D17</f>
        <v>403.02999999999633</v>
      </c>
      <c r="E9" s="80">
        <f>C9/'Kursy walut'!$D$6</f>
        <v>179.0900801458955</v>
      </c>
      <c r="F9" s="78">
        <f>D9/'Kursy walut'!$D$5</f>
        <v>94.73919277873024</v>
      </c>
      <c r="G9" s="82">
        <f t="shared" si="0"/>
        <v>185.1822444979311</v>
      </c>
      <c r="H9" s="80">
        <f>'RZiS GK'!E17</f>
        <v>1916.6300000000049</v>
      </c>
      <c r="I9" s="80">
        <f>'RZiS GK'!F17</f>
        <v>1223.4599999999964</v>
      </c>
      <c r="J9" s="78">
        <f>H9/'Kursy walut'!$E$6</f>
        <v>458.6995022018009</v>
      </c>
      <c r="K9" s="78">
        <f>I9/'Kursy walut'!$E$5</f>
        <v>290.3322259136204</v>
      </c>
      <c r="L9" s="165">
        <f t="shared" si="1"/>
        <v>156.65653147630576</v>
      </c>
    </row>
    <row r="10" spans="2:12" ht="15">
      <c r="B10" s="166" t="s">
        <v>105</v>
      </c>
      <c r="C10" s="79">
        <f>'RZiS GK'!C21</f>
        <v>461.470000000005</v>
      </c>
      <c r="D10" s="79">
        <f>'RZiS GK'!D21</f>
        <v>336.14999999999634</v>
      </c>
      <c r="E10" s="81">
        <f>C10/'Kursy walut'!$D$6</f>
        <v>110.73331093727624</v>
      </c>
      <c r="F10" s="79">
        <f>D10/'Kursy walut'!$D$5</f>
        <v>79.01788862509022</v>
      </c>
      <c r="G10" s="83">
        <f t="shared" si="0"/>
        <v>137.2809757548743</v>
      </c>
      <c r="H10" s="81">
        <f>'RZiS GK'!E21</f>
        <v>1421.1800000000048</v>
      </c>
      <c r="I10" s="81">
        <f>'RZiS GK'!F21</f>
        <v>823.8099999999963</v>
      </c>
      <c r="J10" s="79">
        <f>H10/'Kursy walut'!$E$6</f>
        <v>340.12540685429946</v>
      </c>
      <c r="K10" s="79">
        <f>I10/'Kursy walut'!$E$5</f>
        <v>195.49359278595068</v>
      </c>
      <c r="L10" s="167">
        <f t="shared" si="1"/>
        <v>172.51307947220974</v>
      </c>
    </row>
    <row r="11" spans="2:12" ht="15">
      <c r="B11" s="164" t="s">
        <v>106</v>
      </c>
      <c r="C11" s="80">
        <f>C6+C9</f>
        <v>1555.090000000005</v>
      </c>
      <c r="D11" s="80">
        <f>D6+D9</f>
        <v>1143.1999999999964</v>
      </c>
      <c r="E11" s="80">
        <f>C11/'Kursy walut'!$D$6</f>
        <v>373.1559245572791</v>
      </c>
      <c r="F11" s="78">
        <f>D11/'Kursy walut'!$D$5</f>
        <v>268.7289908558794</v>
      </c>
      <c r="G11" s="82">
        <f t="shared" si="0"/>
        <v>136.0295661301618</v>
      </c>
      <c r="H11" s="80">
        <f>H6+H9</f>
        <v>3521.620000000005</v>
      </c>
      <c r="I11" s="80">
        <f>I6+I9</f>
        <v>2742.6799999999967</v>
      </c>
      <c r="J11" s="78">
        <f>H11/'Kursy walut'!$E$6</f>
        <v>842.8154317442095</v>
      </c>
      <c r="K11" s="78">
        <f>I11/'Kursy walut'!$E$5</f>
        <v>650.8495491219735</v>
      </c>
      <c r="L11" s="165">
        <f t="shared" si="1"/>
        <v>128.4006883777914</v>
      </c>
    </row>
    <row r="12" spans="2:12" ht="15">
      <c r="B12" s="166" t="s">
        <v>107</v>
      </c>
      <c r="C12" s="81">
        <f>C10</f>
        <v>461.470000000005</v>
      </c>
      <c r="D12" s="81">
        <f>D10</f>
        <v>336.14999999999634</v>
      </c>
      <c r="E12" s="81">
        <f>C12/'Kursy walut'!$D$6</f>
        <v>110.73331093727624</v>
      </c>
      <c r="F12" s="79">
        <f>D12/'Kursy walut'!$D$5</f>
        <v>79.01788862509022</v>
      </c>
      <c r="G12" s="83">
        <f t="shared" si="0"/>
        <v>137.2809757548743</v>
      </c>
      <c r="H12" s="81">
        <f>H10</f>
        <v>1421.1800000000048</v>
      </c>
      <c r="I12" s="81">
        <f>I10</f>
        <v>823.8099999999963</v>
      </c>
      <c r="J12" s="79">
        <f>H12/'Kursy walut'!$E$6</f>
        <v>340.12540685429946</v>
      </c>
      <c r="K12" s="79">
        <f>I12/'Kursy walut'!$E$5</f>
        <v>195.49359278595068</v>
      </c>
      <c r="L12" s="167">
        <f t="shared" si="1"/>
        <v>172.51307947220974</v>
      </c>
    </row>
    <row r="13" spans="2:12" ht="15">
      <c r="B13" s="164" t="s">
        <v>22</v>
      </c>
      <c r="C13" s="80">
        <f>'RZiS GK'!C26</f>
        <v>531.470000000005</v>
      </c>
      <c r="D13" s="80">
        <f>'RZiS GK'!D26</f>
        <v>388.64999999999634</v>
      </c>
      <c r="E13" s="80">
        <f>C13/'Kursy walut'!$D$6</f>
        <v>127.53035465758148</v>
      </c>
      <c r="F13" s="78">
        <f>D13/'Kursy walut'!$D$5</f>
        <v>91.3589243318202</v>
      </c>
      <c r="G13" s="82">
        <f t="shared" si="0"/>
        <v>136.74771645439597</v>
      </c>
      <c r="H13" s="80">
        <f>'RZiS GK'!E26</f>
        <v>1491.1800000000048</v>
      </c>
      <c r="I13" s="80">
        <f>'RZiS GK'!F26</f>
        <v>876.3099999999963</v>
      </c>
      <c r="J13" s="78">
        <f>H13/'Kursy walut'!$E$6</f>
        <v>356.87823090178176</v>
      </c>
      <c r="K13" s="78">
        <f>I13/'Kursy walut'!$E$5</f>
        <v>207.95206454674803</v>
      </c>
      <c r="L13" s="165">
        <f t="shared" si="1"/>
        <v>170.16580890324326</v>
      </c>
    </row>
    <row r="14" spans="2:12" ht="15">
      <c r="B14" s="240"/>
      <c r="C14" s="92" t="s">
        <v>180</v>
      </c>
      <c r="D14" s="92" t="s">
        <v>180</v>
      </c>
      <c r="E14" s="92" t="s">
        <v>180</v>
      </c>
      <c r="F14" s="92" t="s">
        <v>180</v>
      </c>
      <c r="G14" s="237" t="s">
        <v>98</v>
      </c>
      <c r="H14" s="92" t="s">
        <v>180</v>
      </c>
      <c r="I14" s="92" t="s">
        <v>180</v>
      </c>
      <c r="J14" s="92" t="s">
        <v>180</v>
      </c>
      <c r="K14" s="92" t="s">
        <v>180</v>
      </c>
      <c r="L14" s="239" t="s">
        <v>98</v>
      </c>
    </row>
    <row r="15" spans="2:12" ht="15">
      <c r="B15" s="241"/>
      <c r="C15" s="93" t="s">
        <v>164</v>
      </c>
      <c r="D15" s="93" t="s">
        <v>99</v>
      </c>
      <c r="E15" s="93" t="s">
        <v>165</v>
      </c>
      <c r="F15" s="93" t="s">
        <v>100</v>
      </c>
      <c r="G15" s="237"/>
      <c r="H15" s="93" t="s">
        <v>164</v>
      </c>
      <c r="I15" s="93" t="s">
        <v>99</v>
      </c>
      <c r="J15" s="93" t="s">
        <v>165</v>
      </c>
      <c r="K15" s="93" t="s">
        <v>100</v>
      </c>
      <c r="L15" s="239"/>
    </row>
    <row r="16" spans="2:12" ht="15">
      <c r="B16" s="166" t="s">
        <v>108</v>
      </c>
      <c r="C16" s="85">
        <f>C17+C18</f>
        <v>79623.29</v>
      </c>
      <c r="D16" s="85">
        <f>D17+D18</f>
        <v>78816.8</v>
      </c>
      <c r="E16" s="85">
        <f>C16/'Kursy walut'!$C$6</f>
        <v>19136.073926314017</v>
      </c>
      <c r="F16" s="85">
        <f>D16/'Kursy walut'!$C$5</f>
        <v>18205.857895223136</v>
      </c>
      <c r="G16" s="84">
        <f>(C16/D16)*100</f>
        <v>101.0232463129688</v>
      </c>
      <c r="H16" s="85">
        <f aca="true" t="shared" si="2" ref="H16:H28">C16</f>
        <v>79623.29</v>
      </c>
      <c r="I16" s="85">
        <f aca="true" t="shared" si="3" ref="I16:I28">D16</f>
        <v>78816.8</v>
      </c>
      <c r="J16" s="85">
        <f>H16/'Kursy walut'!$C$6</f>
        <v>19136.073926314017</v>
      </c>
      <c r="K16" s="85">
        <f>I16/'Kursy walut'!$C$5</f>
        <v>18205.857895223136</v>
      </c>
      <c r="L16" s="168">
        <f>(H16/I16)*100</f>
        <v>101.0232463129688</v>
      </c>
    </row>
    <row r="17" spans="2:12" ht="15">
      <c r="B17" s="164" t="s">
        <v>30</v>
      </c>
      <c r="C17" s="86">
        <f>'Bilans GK'!C4</f>
        <v>34815.67</v>
      </c>
      <c r="D17" s="86">
        <f>'Bilans GK'!D4</f>
        <v>32069.37</v>
      </c>
      <c r="E17" s="86">
        <f>C17/'Kursy walut'!$C$6</f>
        <v>8367.341200221106</v>
      </c>
      <c r="F17" s="86">
        <f>D17/'Kursy walut'!$C$5</f>
        <v>7407.689642428162</v>
      </c>
      <c r="G17" s="162">
        <f aca="true" t="shared" si="4" ref="G17:G28">(C17/D17)*100</f>
        <v>108.56362317064539</v>
      </c>
      <c r="H17" s="86">
        <f t="shared" si="2"/>
        <v>34815.67</v>
      </c>
      <c r="I17" s="86">
        <f t="shared" si="3"/>
        <v>32069.37</v>
      </c>
      <c r="J17" s="86">
        <f>H17/'Kursy walut'!$C$6</f>
        <v>8367.341200221106</v>
      </c>
      <c r="K17" s="86">
        <f>I17/'Kursy walut'!$C$5</f>
        <v>7407.689642428162</v>
      </c>
      <c r="L17" s="169">
        <f aca="true" t="shared" si="5" ref="L17:L28">(H17/I17)*100</f>
        <v>108.56362317064539</v>
      </c>
    </row>
    <row r="18" spans="2:12" ht="15">
      <c r="B18" s="166" t="s">
        <v>39</v>
      </c>
      <c r="C18" s="85">
        <f>'Bilans GK'!C13</f>
        <v>44807.619999999995</v>
      </c>
      <c r="D18" s="85">
        <f>'Bilans GK'!D13</f>
        <v>46747.43000000001</v>
      </c>
      <c r="E18" s="85">
        <f>C18/'Kursy walut'!$C$6</f>
        <v>10768.732726092912</v>
      </c>
      <c r="F18" s="85">
        <f>D18/'Kursy walut'!$C$5</f>
        <v>10798.168252794974</v>
      </c>
      <c r="G18" s="84">
        <f t="shared" si="4"/>
        <v>95.85044568225459</v>
      </c>
      <c r="H18" s="85">
        <f t="shared" si="2"/>
        <v>44807.619999999995</v>
      </c>
      <c r="I18" s="85">
        <f t="shared" si="3"/>
        <v>46747.43000000001</v>
      </c>
      <c r="J18" s="85">
        <f>H18/'Kursy walut'!$C$6</f>
        <v>10768.732726092912</v>
      </c>
      <c r="K18" s="85">
        <f>I18/'Kursy walut'!$C$5</f>
        <v>10798.168252794974</v>
      </c>
      <c r="L18" s="168">
        <f t="shared" si="5"/>
        <v>95.85044568225459</v>
      </c>
    </row>
    <row r="19" spans="2:12" ht="15">
      <c r="B19" s="164" t="s">
        <v>40</v>
      </c>
      <c r="C19" s="86">
        <f>'Bilans GK'!C14</f>
        <v>25109.73</v>
      </c>
      <c r="D19" s="86">
        <f>'Bilans GK'!D14</f>
        <v>24888.86</v>
      </c>
      <c r="E19" s="86">
        <f>C19/'Kursy walut'!$C$6</f>
        <v>6034.687207094619</v>
      </c>
      <c r="F19" s="86">
        <f>D19/'Kursy walut'!$C$5</f>
        <v>5749.066802180541</v>
      </c>
      <c r="G19" s="162">
        <f t="shared" si="4"/>
        <v>100.8874251371899</v>
      </c>
      <c r="H19" s="86">
        <f t="shared" si="2"/>
        <v>25109.73</v>
      </c>
      <c r="I19" s="86">
        <f t="shared" si="3"/>
        <v>24888.86</v>
      </c>
      <c r="J19" s="86">
        <f>H19/'Kursy walut'!$C$6</f>
        <v>6034.687207094619</v>
      </c>
      <c r="K19" s="86">
        <f>I19/'Kursy walut'!$C$5</f>
        <v>5749.066802180541</v>
      </c>
      <c r="L19" s="169">
        <f t="shared" si="5"/>
        <v>100.8874251371899</v>
      </c>
    </row>
    <row r="20" spans="2:12" ht="15">
      <c r="B20" s="166" t="s">
        <v>109</v>
      </c>
      <c r="C20" s="85">
        <f>'Bilans GK'!C22</f>
        <v>277.74</v>
      </c>
      <c r="D20" s="85">
        <f>'Bilans GK'!D22</f>
        <v>919.25</v>
      </c>
      <c r="E20" s="85">
        <f>C20/'Kursy walut'!$C$6</f>
        <v>66.74998197505347</v>
      </c>
      <c r="F20" s="85">
        <f>D20/'Kursy walut'!$C$5</f>
        <v>212.33715236071328</v>
      </c>
      <c r="G20" s="84">
        <f t="shared" si="4"/>
        <v>30.213761218384555</v>
      </c>
      <c r="H20" s="85">
        <f t="shared" si="2"/>
        <v>277.74</v>
      </c>
      <c r="I20" s="85">
        <f t="shared" si="3"/>
        <v>919.25</v>
      </c>
      <c r="J20" s="85">
        <f>H20/'Kursy walut'!$C$6</f>
        <v>66.74998197505347</v>
      </c>
      <c r="K20" s="85">
        <f>I20/'Kursy walut'!$C$5</f>
        <v>212.33715236071328</v>
      </c>
      <c r="L20" s="168">
        <f t="shared" si="5"/>
        <v>30.213761218384555</v>
      </c>
    </row>
    <row r="21" spans="2:12" ht="15">
      <c r="B21" s="164" t="s">
        <v>110</v>
      </c>
      <c r="C21" s="86">
        <f>C22+C23</f>
        <v>18871.03</v>
      </c>
      <c r="D21" s="86">
        <f>D22+D23</f>
        <v>18344.47</v>
      </c>
      <c r="E21" s="86">
        <f>C21/'Kursy walut'!$C$6</f>
        <v>4535.324088538538</v>
      </c>
      <c r="F21" s="86">
        <f>D21/'Kursy walut'!$C$5</f>
        <v>4237.381040376975</v>
      </c>
      <c r="G21" s="162">
        <f t="shared" si="4"/>
        <v>102.87040181591509</v>
      </c>
      <c r="H21" s="86">
        <f t="shared" si="2"/>
        <v>18871.03</v>
      </c>
      <c r="I21" s="86">
        <f t="shared" si="3"/>
        <v>18344.47</v>
      </c>
      <c r="J21" s="86">
        <f>H21/'Kursy walut'!$C$6</f>
        <v>4535.324088538538</v>
      </c>
      <c r="K21" s="86">
        <f>I21/'Kursy walut'!$C$5</f>
        <v>4237.381040376975</v>
      </c>
      <c r="L21" s="169">
        <f t="shared" si="5"/>
        <v>102.87040181591509</v>
      </c>
    </row>
    <row r="22" spans="2:12" ht="15">
      <c r="B22" s="166" t="s">
        <v>111</v>
      </c>
      <c r="C22" s="85">
        <f>'Bilans GK'!C15+'Bilans GK'!C17</f>
        <v>18336.03</v>
      </c>
      <c r="D22" s="85">
        <f>'Bilans GK'!D15+'Bilans GK'!D17</f>
        <v>17929.66</v>
      </c>
      <c r="E22" s="85">
        <f>C22/'Kursy walut'!$C$6</f>
        <v>4406.746136653128</v>
      </c>
      <c r="F22" s="85">
        <f>D22/'Kursy walut'!$C$5</f>
        <v>4141.564261295389</v>
      </c>
      <c r="G22" s="84">
        <f t="shared" si="4"/>
        <v>102.26646796425587</v>
      </c>
      <c r="H22" s="85">
        <f t="shared" si="2"/>
        <v>18336.03</v>
      </c>
      <c r="I22" s="85">
        <f t="shared" si="3"/>
        <v>17929.66</v>
      </c>
      <c r="J22" s="85">
        <f>H22/'Kursy walut'!$C$6</f>
        <v>4406.746136653128</v>
      </c>
      <c r="K22" s="85">
        <f>I22/'Kursy walut'!$C$5</f>
        <v>4141.564261295389</v>
      </c>
      <c r="L22" s="168">
        <f t="shared" si="5"/>
        <v>102.26646796425587</v>
      </c>
    </row>
    <row r="23" spans="2:12" ht="15">
      <c r="B23" s="164" t="s">
        <v>112</v>
      </c>
      <c r="C23" s="86">
        <f>'Bilans GK'!C12</f>
        <v>535</v>
      </c>
      <c r="D23" s="86">
        <f>'Bilans GK'!D12</f>
        <v>414.81</v>
      </c>
      <c r="E23" s="86">
        <f>C23/'Kursy walut'!$C$6</f>
        <v>128.57795188540942</v>
      </c>
      <c r="F23" s="86">
        <f>D23/'Kursy walut'!$C$5</f>
        <v>95.81677908158551</v>
      </c>
      <c r="G23" s="162">
        <f t="shared" si="4"/>
        <v>128.97471131361345</v>
      </c>
      <c r="H23" s="86">
        <f t="shared" si="2"/>
        <v>535</v>
      </c>
      <c r="I23" s="86">
        <f t="shared" si="3"/>
        <v>414.81</v>
      </c>
      <c r="J23" s="86">
        <f>H23/'Kursy walut'!$C$6</f>
        <v>128.57795188540942</v>
      </c>
      <c r="K23" s="86">
        <f>I23/'Kursy walut'!$C$5</f>
        <v>95.81677908158551</v>
      </c>
      <c r="L23" s="169">
        <f t="shared" si="5"/>
        <v>128.97471131361345</v>
      </c>
    </row>
    <row r="24" spans="2:12" ht="15">
      <c r="B24" s="166" t="s">
        <v>113</v>
      </c>
      <c r="C24" s="85">
        <f>C25+C26</f>
        <v>39838.11</v>
      </c>
      <c r="D24" s="85">
        <f>D25+D26</f>
        <v>40630.990000000005</v>
      </c>
      <c r="E24" s="85">
        <f>C24/'Kursy walut'!$C$6</f>
        <v>9574.39736595448</v>
      </c>
      <c r="F24" s="85">
        <f>D24/'Kursy walut'!$C$5</f>
        <v>9385.334472881827</v>
      </c>
      <c r="G24" s="84">
        <f t="shared" si="4"/>
        <v>98.04858311352983</v>
      </c>
      <c r="H24" s="85">
        <f t="shared" si="2"/>
        <v>39838.11</v>
      </c>
      <c r="I24" s="85">
        <f t="shared" si="3"/>
        <v>40630.990000000005</v>
      </c>
      <c r="J24" s="85">
        <f>H24/'Kursy walut'!$C$6</f>
        <v>9574.39736595448</v>
      </c>
      <c r="K24" s="85">
        <f>I24/'Kursy walut'!$C$5</f>
        <v>9385.334472881827</v>
      </c>
      <c r="L24" s="168">
        <f t="shared" si="5"/>
        <v>98.04858311352983</v>
      </c>
    </row>
    <row r="25" spans="2:12" ht="15">
      <c r="B25" s="164" t="s">
        <v>114</v>
      </c>
      <c r="C25" s="86">
        <f>'Bilans GK'!C38</f>
        <v>3422.78</v>
      </c>
      <c r="D25" s="86">
        <f>'Bilans GK'!D38</f>
        <v>4299.48</v>
      </c>
      <c r="E25" s="86">
        <f>C25/'Kursy walut'!$C$6</f>
        <v>822.6056862697975</v>
      </c>
      <c r="F25" s="86">
        <f>D25/'Kursy walut'!$C$5</f>
        <v>993.1349902984384</v>
      </c>
      <c r="G25" s="162">
        <f t="shared" si="4"/>
        <v>79.60916203819998</v>
      </c>
      <c r="H25" s="86">
        <f t="shared" si="2"/>
        <v>3422.78</v>
      </c>
      <c r="I25" s="86">
        <f t="shared" si="3"/>
        <v>4299.48</v>
      </c>
      <c r="J25" s="86">
        <f>H25/'Kursy walut'!$C$6</f>
        <v>822.6056862697975</v>
      </c>
      <c r="K25" s="86">
        <f>I25/'Kursy walut'!$C$5</f>
        <v>993.1349902984384</v>
      </c>
      <c r="L25" s="169">
        <f t="shared" si="5"/>
        <v>79.60916203819998</v>
      </c>
    </row>
    <row r="26" spans="2:12" ht="15">
      <c r="B26" s="166" t="s">
        <v>70</v>
      </c>
      <c r="C26" s="85">
        <f>'Bilans GK'!C46</f>
        <v>36415.33</v>
      </c>
      <c r="D26" s="85">
        <f>'Bilans GK'!D46</f>
        <v>36331.51</v>
      </c>
      <c r="E26" s="85">
        <f>C26/'Kursy walut'!$C$6</f>
        <v>8751.791679684684</v>
      </c>
      <c r="F26" s="85">
        <f>D26/'Kursy walut'!$C$5</f>
        <v>8392.199482583388</v>
      </c>
      <c r="G26" s="84">
        <f t="shared" si="4"/>
        <v>100.2307088254796</v>
      </c>
      <c r="H26" s="85">
        <f t="shared" si="2"/>
        <v>36415.33</v>
      </c>
      <c r="I26" s="85">
        <f t="shared" si="3"/>
        <v>36331.51</v>
      </c>
      <c r="J26" s="85">
        <f>H26/'Kursy walut'!$C$6</f>
        <v>8751.791679684684</v>
      </c>
      <c r="K26" s="85">
        <f>I26/'Kursy walut'!$C$5</f>
        <v>8392.199482583388</v>
      </c>
      <c r="L26" s="168">
        <f t="shared" si="5"/>
        <v>100.2307088254796</v>
      </c>
    </row>
    <row r="27" spans="2:12" ht="15">
      <c r="B27" s="164" t="s">
        <v>115</v>
      </c>
      <c r="C27" s="86">
        <f>'Bilans GK'!C28</f>
        <v>39785.18</v>
      </c>
      <c r="D27" s="86">
        <f>'Bilans GK'!D28</f>
        <v>38185.81</v>
      </c>
      <c r="E27" s="86">
        <f>C27/'Kursy walut'!$C$6</f>
        <v>9561.676560359538</v>
      </c>
      <c r="F27" s="86">
        <f>D27/'Kursy walut'!$C$5</f>
        <v>8820.52342234131</v>
      </c>
      <c r="G27" s="162">
        <f t="shared" si="4"/>
        <v>104.18838830445132</v>
      </c>
      <c r="H27" s="86">
        <f t="shared" si="2"/>
        <v>39785.18</v>
      </c>
      <c r="I27" s="86">
        <f t="shared" si="3"/>
        <v>38185.81</v>
      </c>
      <c r="J27" s="86">
        <f>H27/'Kursy walut'!$C$6</f>
        <v>9561.676560359538</v>
      </c>
      <c r="K27" s="86">
        <f>I27/'Kursy walut'!$C$5</f>
        <v>8820.52342234131</v>
      </c>
      <c r="L27" s="169">
        <f t="shared" si="5"/>
        <v>104.18838830445132</v>
      </c>
    </row>
    <row r="28" spans="2:12" ht="15.75" thickBot="1">
      <c r="B28" s="170" t="s">
        <v>116</v>
      </c>
      <c r="C28" s="171">
        <v>1799.64</v>
      </c>
      <c r="D28" s="171">
        <v>1799.64</v>
      </c>
      <c r="E28" s="171">
        <f>C28/'Kursy walut'!$C$6</f>
        <v>432.51219688048263</v>
      </c>
      <c r="F28" s="171">
        <f>D28/'Kursy walut'!$C$5</f>
        <v>415.6980504481198</v>
      </c>
      <c r="G28" s="172">
        <f t="shared" si="4"/>
        <v>100</v>
      </c>
      <c r="H28" s="171">
        <f t="shared" si="2"/>
        <v>1799.64</v>
      </c>
      <c r="I28" s="171">
        <f t="shared" si="3"/>
        <v>1799.64</v>
      </c>
      <c r="J28" s="171">
        <f>H28/'Kursy walut'!$C$6</f>
        <v>432.51219688048263</v>
      </c>
      <c r="K28" s="171">
        <f>I28/'Kursy walut'!$C$5</f>
        <v>415.6980504481198</v>
      </c>
      <c r="L28" s="173">
        <f t="shared" si="5"/>
        <v>100</v>
      </c>
    </row>
    <row r="29" spans="3:12" ht="15.75" thickTop="1">
      <c r="C29" s="44"/>
      <c r="D29" s="44"/>
      <c r="E29" s="43"/>
      <c r="F29" s="43"/>
      <c r="G29" s="43"/>
      <c r="H29" s="44"/>
      <c r="I29" s="44"/>
      <c r="J29" s="43"/>
      <c r="K29" s="43"/>
      <c r="L29" s="54"/>
    </row>
    <row r="30" spans="3:12" ht="15">
      <c r="C30" s="44"/>
      <c r="D30" s="44"/>
      <c r="E30" s="43"/>
      <c r="F30" s="43"/>
      <c r="G30" s="43"/>
      <c r="H30" s="44"/>
      <c r="I30" s="44"/>
      <c r="J30" s="43"/>
      <c r="K30" s="43"/>
      <c r="L30" s="54"/>
    </row>
    <row r="31" spans="3:12" ht="15">
      <c r="C31" s="44"/>
      <c r="D31" s="44"/>
      <c r="E31" s="43"/>
      <c r="F31" s="43"/>
      <c r="G31" s="43"/>
      <c r="H31" s="43"/>
      <c r="I31" s="43"/>
      <c r="J31" s="43"/>
      <c r="K31" s="43"/>
      <c r="L31" s="54"/>
    </row>
    <row r="32" ht="15">
      <c r="D32" s="33"/>
    </row>
  </sheetData>
  <sheetProtection/>
  <mergeCells count="6">
    <mergeCell ref="B3:B4"/>
    <mergeCell ref="G3:G4"/>
    <mergeCell ref="L3:L4"/>
    <mergeCell ref="B14:B15"/>
    <mergeCell ref="G14:G15"/>
    <mergeCell ref="L14:L1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6"/>
  <sheetViews>
    <sheetView zoomScalePageLayoutView="0" workbookViewId="0" topLeftCell="A1">
      <selection activeCell="D9" sqref="D9"/>
    </sheetView>
  </sheetViews>
  <sheetFormatPr defaultColWidth="9.140625" defaultRowHeight="15"/>
  <cols>
    <col min="3" max="3" width="23.421875" style="0" customWidth="1"/>
    <col min="4" max="4" width="23.00390625" style="0" customWidth="1"/>
    <col min="5" max="5" width="22.140625" style="0" bestFit="1" customWidth="1"/>
  </cols>
  <sheetData>
    <row r="2" ht="15.75" thickBot="1"/>
    <row r="3" spans="2:5" ht="15.75" thickTop="1">
      <c r="B3" s="242"/>
      <c r="C3" s="27" t="s">
        <v>124</v>
      </c>
      <c r="D3" s="27" t="s">
        <v>125</v>
      </c>
      <c r="E3" s="160" t="s">
        <v>125</v>
      </c>
    </row>
    <row r="4" spans="2:5" ht="15">
      <c r="B4" s="243"/>
      <c r="C4" s="26" t="s">
        <v>182</v>
      </c>
      <c r="D4" s="26" t="s">
        <v>178</v>
      </c>
      <c r="E4" s="161" t="s">
        <v>179</v>
      </c>
    </row>
    <row r="5" spans="2:5" ht="15">
      <c r="B5" s="28">
        <v>2013</v>
      </c>
      <c r="C5" s="24">
        <v>4.3292</v>
      </c>
      <c r="D5" s="25">
        <v>4.2541</v>
      </c>
      <c r="E5" s="29">
        <v>4.214</v>
      </c>
    </row>
    <row r="6" spans="2:5" ht="15.75" thickBot="1">
      <c r="B6" s="30">
        <v>2014</v>
      </c>
      <c r="C6" s="31">
        <v>4.1609</v>
      </c>
      <c r="D6" s="31">
        <v>4.1674</v>
      </c>
      <c r="E6" s="32">
        <v>4.1784</v>
      </c>
    </row>
    <row r="7" ht="15.75" thickTop="1"/>
  </sheetData>
  <sheetProtection/>
  <mergeCells count="1">
    <mergeCell ref="B3:B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F18"/>
  <sheetViews>
    <sheetView zoomScalePageLayoutView="0" workbookViewId="0" topLeftCell="A4">
      <selection activeCell="E16" sqref="E16:F18"/>
    </sheetView>
  </sheetViews>
  <sheetFormatPr defaultColWidth="9.140625" defaultRowHeight="15"/>
  <cols>
    <col min="2" max="2" width="39.00390625" style="0" customWidth="1"/>
    <col min="3" max="3" width="13.57421875" style="0" customWidth="1"/>
    <col min="4" max="5" width="10.421875" style="0" bestFit="1" customWidth="1"/>
    <col min="6" max="6" width="15.00390625" style="0" bestFit="1" customWidth="1"/>
  </cols>
  <sheetData>
    <row r="3" ht="15.75" thickBot="1"/>
    <row r="4" spans="2:6" ht="15.75" thickTop="1">
      <c r="B4" s="244"/>
      <c r="C4" s="155" t="s">
        <v>183</v>
      </c>
      <c r="D4" s="179" t="s">
        <v>183</v>
      </c>
      <c r="E4" s="156" t="s">
        <v>179</v>
      </c>
      <c r="F4" s="157" t="s">
        <v>184</v>
      </c>
    </row>
    <row r="5" spans="2:6" ht="15">
      <c r="B5" s="245"/>
      <c r="C5" s="158">
        <v>2014</v>
      </c>
      <c r="D5" s="180">
        <v>2013</v>
      </c>
      <c r="E5" s="175">
        <v>2014</v>
      </c>
      <c r="F5" s="159">
        <v>2013</v>
      </c>
    </row>
    <row r="6" spans="2:6" ht="15">
      <c r="B6" s="34" t="s">
        <v>117</v>
      </c>
      <c r="C6" s="22">
        <f>'Wybrane dane finansowe GK'!C9/'Wybrane dane finansowe GK'!C5</f>
        <v>0.029234850241606637</v>
      </c>
      <c r="D6" s="181">
        <f>'Wybrane dane finansowe GK'!D9/'Wybrane dane finansowe GK'!D5</f>
        <v>0.01658413621187255</v>
      </c>
      <c r="E6" s="176">
        <f>'Wybrane dane finansowe GK'!H9/'Wybrane dane finansowe GK'!H5</f>
        <v>0.03556254780161739</v>
      </c>
      <c r="F6" s="35">
        <f>'Wybrane dane finansowe GK'!I9/'Wybrane dane finansowe GK'!I5</f>
        <v>0.02523628723402273</v>
      </c>
    </row>
    <row r="7" spans="2:6" ht="15">
      <c r="B7" s="36" t="s">
        <v>118</v>
      </c>
      <c r="C7" s="23">
        <f>'Wybrane dane finansowe GK'!C11/'Wybrane dane finansowe GK'!C5</f>
        <v>0.06091435975858176</v>
      </c>
      <c r="D7" s="182">
        <f>'Wybrane dane finansowe GK'!D11/'Wybrane dane finansowe GK'!D5</f>
        <v>0.04704112477337373</v>
      </c>
      <c r="E7" s="177">
        <f>'Wybrane dane finansowe GK'!H11/'Wybrane dane finansowe GK'!H5</f>
        <v>0.06534270025468228</v>
      </c>
      <c r="F7" s="37">
        <f>'Wybrane dane finansowe GK'!I11/'Wybrane dane finansowe GK'!I5</f>
        <v>0.05657321062479328</v>
      </c>
    </row>
    <row r="8" spans="2:6" ht="15">
      <c r="B8" s="34" t="s">
        <v>119</v>
      </c>
      <c r="C8" s="22">
        <f>'Wybrane dane finansowe GK'!C13/'Wybrane dane finansowe GK'!C5</f>
        <v>0.02081818723089574</v>
      </c>
      <c r="D8" s="181">
        <f>'Wybrane dane finansowe GK'!D13/'Wybrane dane finansowe GK'!D5</f>
        <v>0.015992418774642744</v>
      </c>
      <c r="E8" s="176">
        <f>'Wybrane dane finansowe GK'!H13/'Wybrane dane finansowe GK'!H5</f>
        <v>0.027668438890560965</v>
      </c>
      <c r="F8" s="35">
        <f>'Wybrane dane finansowe GK'!I13/'Wybrane dane finansowe GK'!I5</f>
        <v>0.018075630479170903</v>
      </c>
    </row>
    <row r="9" spans="2:6" ht="15">
      <c r="B9" s="36" t="s">
        <v>120</v>
      </c>
      <c r="C9" s="23">
        <f>'Wybrane dane finansowe GK'!C13/('Wybrane dane finansowe GK'!C16-'Wybrane dane finansowe GK'!C24)</f>
        <v>0.013358491780105184</v>
      </c>
      <c r="D9" s="182">
        <f>'Wybrane dane finansowe GK'!D13/('Wybrane dane finansowe GK'!D16-'Wybrane dane finansowe GK'!D24)</f>
        <v>0.010177864499928019</v>
      </c>
      <c r="E9" s="177">
        <f>'Wybrane dane finansowe GK'!H13/('Wybrane dane finansowe GK'!H16-'Wybrane dane finansowe GK'!H24)</f>
        <v>0.03748079058584139</v>
      </c>
      <c r="F9" s="37">
        <f>'Wybrane dane finansowe GK'!I13/('Wybrane dane finansowe GK'!I16-'Wybrane dane finansowe GK'!I24)</f>
        <v>0.022948576971393204</v>
      </c>
    </row>
    <row r="10" spans="2:6" ht="15">
      <c r="B10" s="38" t="s">
        <v>121</v>
      </c>
      <c r="C10" s="22">
        <f>'Wybrane dane finansowe GK'!C13/'Wybrane dane finansowe GK'!C16</f>
        <v>0.0066748058262853125</v>
      </c>
      <c r="D10" s="181">
        <f>'Wybrane dane finansowe GK'!D13/'Wybrane dane finansowe GK'!D16</f>
        <v>0.004931055308005353</v>
      </c>
      <c r="E10" s="176">
        <f>'Wybrane dane finansowe GK'!H13/'Wybrane dane finansowe GK'!H16</f>
        <v>0.018727937516774363</v>
      </c>
      <c r="F10" s="35">
        <f>'Wybrane dane finansowe GK'!I13/'Wybrane dane finansowe GK'!I16</f>
        <v>0.011118314877031245</v>
      </c>
    </row>
    <row r="11" spans="2:6" ht="15">
      <c r="B11" s="36" t="s">
        <v>122</v>
      </c>
      <c r="C11" s="23">
        <f>'Wybrane dane finansowe GK'!C18/'Wybrane dane finansowe GK'!C26</f>
        <v>1.2304603583161267</v>
      </c>
      <c r="D11" s="182">
        <f>'Wybrane dane finansowe GK'!D18/'Wybrane dane finansowe GK'!D26</f>
        <v>1.2866910844057955</v>
      </c>
      <c r="E11" s="177">
        <f>'Wybrane dane finansowe GK'!H18/'Wybrane dane finansowe GK'!H26</f>
        <v>1.2304603583161267</v>
      </c>
      <c r="F11" s="37">
        <f>'Wybrane dane finansowe GK'!I18/'Wybrane dane finansowe GK'!I26</f>
        <v>1.2866910844057955</v>
      </c>
    </row>
    <row r="12" spans="2:6" ht="15.75" thickBot="1">
      <c r="B12" s="39" t="s">
        <v>123</v>
      </c>
      <c r="C12" s="40">
        <f>'Wybrane dane finansowe GK'!C24/'Wybrane dane finansowe GK'!C16</f>
        <v>0.5003323776246875</v>
      </c>
      <c r="D12" s="183">
        <f>'Wybrane dane finansowe GK'!D24/'Wybrane dane finansowe GK'!D16</f>
        <v>0.5155117944397641</v>
      </c>
      <c r="E12" s="178">
        <f>'Wybrane dane finansowe GK'!H24/'Wybrane dane finansowe GK'!H16</f>
        <v>0.5003323776246875</v>
      </c>
      <c r="F12" s="41">
        <f>'Wybrane dane finansowe GK'!I24/'Wybrane dane finansowe GK'!I16</f>
        <v>0.5155117944397641</v>
      </c>
    </row>
    <row r="13" ht="15.75" thickTop="1"/>
    <row r="16" spans="3:5" ht="15">
      <c r="C16" s="174"/>
      <c r="E16" s="174"/>
    </row>
    <row r="17" ht="15">
      <c r="E17" s="174"/>
    </row>
    <row r="18" spans="5:6" ht="15">
      <c r="E18" s="174"/>
      <c r="F18" s="174"/>
    </row>
  </sheetData>
  <sheetProtection/>
  <mergeCells count="1"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Inga</cp:lastModifiedBy>
  <cp:lastPrinted>2014-08-08T12:29:08Z</cp:lastPrinted>
  <dcterms:created xsi:type="dcterms:W3CDTF">2013-11-04T11:55:12Z</dcterms:created>
  <dcterms:modified xsi:type="dcterms:W3CDTF">2014-08-12T12:42:22Z</dcterms:modified>
  <cp:category/>
  <cp:version/>
  <cp:contentType/>
  <cp:contentStatus/>
</cp:coreProperties>
</file>