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8195" windowHeight="6855" tabRatio="911" firstSheet="2" activeTab="5"/>
  </bookViews>
  <sheets>
    <sheet name="RZiS LUG S.A." sheetId="1" r:id="rId1"/>
    <sheet name="Sk. spr.z cał.doch. LUG S.A." sheetId="2" r:id="rId2"/>
    <sheet name="Bilans LUG S.A." sheetId="3" r:id="rId3"/>
    <sheet name="Zest.zmian w kap.wł. LUG S.A." sheetId="4" r:id="rId4"/>
    <sheet name="Rach.przep.pienięż LUG S.A." sheetId="5" r:id="rId5"/>
    <sheet name="Wybrane dane finansowe LUG S.A " sheetId="6" r:id="rId6"/>
    <sheet name="Kursy walut" sheetId="7" r:id="rId7"/>
    <sheet name="Wskaźniki finansowe LUG S.A." sheetId="8" r:id="rId8"/>
  </sheets>
  <externalReferences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<sst xmlns="http://schemas.openxmlformats.org/spreadsheetml/2006/main" count="262" uniqueCount="180">
  <si>
    <t>Przychody ze sprzedaży</t>
  </si>
  <si>
    <t>Przychody ze sprzedaży produktów i usług</t>
  </si>
  <si>
    <t>Przychody ze sprzedaży towarów i materiałów</t>
  </si>
  <si>
    <t>Koszty sprzedanych produktów, towarów i materiałów</t>
  </si>
  <si>
    <t>Koszty wytworzenia sprzedanych produktów i usług</t>
  </si>
  <si>
    <t>Wartość sprzedanych towarów i materiałów</t>
  </si>
  <si>
    <t>Zysk  (strata) brutto na sprzedaży</t>
  </si>
  <si>
    <t>Różnica z tytułu przekazania aktywów niegotówkowych właścicielom</t>
  </si>
  <si>
    <t>Pozostałe przychody operacyjne</t>
  </si>
  <si>
    <t>Koszty sprzedaży</t>
  </si>
  <si>
    <t>Koszty ogólnego zarządu</t>
  </si>
  <si>
    <t>Nakłady na prace badawcze i rozwojowe</t>
  </si>
  <si>
    <t>Pozostałe koszty operacyjne</t>
  </si>
  <si>
    <t>Zysk (strata) na działalności operacyjnej</t>
  </si>
  <si>
    <t>Przychody finansowe</t>
  </si>
  <si>
    <t>Koszty finansowe</t>
  </si>
  <si>
    <t>Udział w zyskach (stratach) netto jednostek wycenianych metodą praw własności</t>
  </si>
  <si>
    <t>Zysk (strata) przed opodatkowaniem</t>
  </si>
  <si>
    <t>Podatek dochodowy</t>
  </si>
  <si>
    <t>Zysk (strata) netto należny udziałowcom mniejszościowym</t>
  </si>
  <si>
    <t>Zysk (strata) netto z działalności kontynuowanej</t>
  </si>
  <si>
    <t>Zysk (strata) z działalności zaniechanej</t>
  </si>
  <si>
    <t>Zysk (strata) netto</t>
  </si>
  <si>
    <t>Zysk (strata) netto należny akcjonariuszom jenostki dominującej</t>
  </si>
  <si>
    <t>Zysk (strata) netto na jedną akcję (w zł)</t>
  </si>
  <si>
    <t>Podstawowy za okres obrotowy</t>
  </si>
  <si>
    <t>Rozwodniony za okres obrotowy</t>
  </si>
  <si>
    <t>Zysk (strata) netto na jedną akcję z działalności kontynuowanej (w zł)</t>
  </si>
  <si>
    <t>w tys. PLN</t>
  </si>
  <si>
    <t>Aktywa trwałe</t>
  </si>
  <si>
    <t>Rzeczowe aktywa trwałe</t>
  </si>
  <si>
    <t xml:space="preserve">Wartości niematerialne </t>
  </si>
  <si>
    <t>Nieruchomości inwestycyjne</t>
  </si>
  <si>
    <t>Inwestycje w jednostkach podporządkowanych</t>
  </si>
  <si>
    <t>Aktywa finansowe dostepne do sprzedaży</t>
  </si>
  <si>
    <t>Pozostałe aktywa finansowe</t>
  </si>
  <si>
    <t>Aktywa z tytułu odroczonego podatku dochodowego</t>
  </si>
  <si>
    <t>Należności długoterminowe</t>
  </si>
  <si>
    <t>Aktywa obrotowe</t>
  </si>
  <si>
    <t>Zapasy</t>
  </si>
  <si>
    <t>Należności handlowe</t>
  </si>
  <si>
    <t>Należności z tytułu bieżącego podatku dochodowego</t>
  </si>
  <si>
    <t xml:space="preserve">Pozostałe należności </t>
  </si>
  <si>
    <t>Aktywa finansowe dostępne do sprzedaży</t>
  </si>
  <si>
    <t>Aktywa finansowe wyceniane w wartości godziwej przez wynik finansowy</t>
  </si>
  <si>
    <t>Rozliczenia międzyokresowe</t>
  </si>
  <si>
    <t>Środki pieniężne i ich ekwiwalenty</t>
  </si>
  <si>
    <t>Aktywa zaklasyfikowane jako przeznaczone do sprzedaży</t>
  </si>
  <si>
    <t>AKTYWA  RAZEM</t>
  </si>
  <si>
    <t>AKTYWA</t>
  </si>
  <si>
    <t>PASYWA</t>
  </si>
  <si>
    <t>Kapitał własny</t>
  </si>
  <si>
    <t>Kapitał zakładowy</t>
  </si>
  <si>
    <t>Kapitał zapasowy z emisji akcji powyżej wartości nominalnej</t>
  </si>
  <si>
    <t>Akcje własne</t>
  </si>
  <si>
    <t>Pozostałe kapitały</t>
  </si>
  <si>
    <t>Niepodzielony wynik finansowy</t>
  </si>
  <si>
    <t>Różnice kursowe z przeliczenia</t>
  </si>
  <si>
    <t>Zyski zatrzymane</t>
  </si>
  <si>
    <t>Wynik finansowy bieżącego okresu</t>
  </si>
  <si>
    <t>Kapitał akcjonariuszy mniejszościowych</t>
  </si>
  <si>
    <t>Zobowiązanie długoterminowe</t>
  </si>
  <si>
    <t>Kredyty i pożyczki</t>
  </si>
  <si>
    <t>Pozostałe zobowiązania finansowe</t>
  </si>
  <si>
    <t>Inne zobowiązania długoterminowe</t>
  </si>
  <si>
    <t>Rezerwy z tytułu odroczonego podatku dochodowego</t>
  </si>
  <si>
    <t>Rozliczenia międzyokresowe przychodów</t>
  </si>
  <si>
    <t>Rezerwa na świadczenia emerytalne i podobne</t>
  </si>
  <si>
    <t>Pozostałe rezerwy</t>
  </si>
  <si>
    <t>Zobowiązania krótkoterminowe</t>
  </si>
  <si>
    <t>Zobowiązania handlowe</t>
  </si>
  <si>
    <t>Zobowiązania z tytułu bieżącego podatku dochodowego</t>
  </si>
  <si>
    <t>Pozostałe zobowiązania</t>
  </si>
  <si>
    <t>Zobowiązania bezpośrednio związane z aktywami klasyfikowanymi jako przeznaczone do sprzedaży</t>
  </si>
  <si>
    <t>PASYWA  RAZEM</t>
  </si>
  <si>
    <t>Wartość księgowa na akcję (w zł)</t>
  </si>
  <si>
    <t>Zmiany w nadwyżce z przeszacowania</t>
  </si>
  <si>
    <t>Zyski (straty) z tytułu przeszacowania składników aktywów finansowych dostępnych do sprzedaży</t>
  </si>
  <si>
    <t>Efektywna część zysków i strat związanych z instrumentami zabezpieczającymi przepływy środków pieniężnych</t>
  </si>
  <si>
    <t>Zyski (straty) aktuarialne z programów określonych świadczeń emerytalnych</t>
  </si>
  <si>
    <t>Różnice kursowe z wyceny jednostek działających za granicą</t>
  </si>
  <si>
    <t>Podatek dochodowy związany z elementami pozostałych całkowitych dochodów</t>
  </si>
  <si>
    <t xml:space="preserve">Suma dochodów całkowitych </t>
  </si>
  <si>
    <t>Suma dochodów całkowitych przypisana akcjonariuszom niekontrolującym</t>
  </si>
  <si>
    <t>Suma dochodów całkowitych przypadająca na podmiot dominujący</t>
  </si>
  <si>
    <t xml:space="preserve">Kapitały zapasowy ze sprzedaży akcji powyżej ceny nominalnej </t>
  </si>
  <si>
    <t>Kapitał własny akcjonariuszy jednostki dominującej</t>
  </si>
  <si>
    <t>Kapitał
własny ogółem</t>
  </si>
  <si>
    <t>Zmiany zasad (polityki) rachunkowości</t>
  </si>
  <si>
    <t>Korekty z tyt. błędów podstawowych</t>
  </si>
  <si>
    <t>Kapitał własny po korektach</t>
  </si>
  <si>
    <t>Emisja akcji</t>
  </si>
  <si>
    <t>Koszty emisji akcji</t>
  </si>
  <si>
    <t>Płatność w formie akcji własnych</t>
  </si>
  <si>
    <t>Podział zysku netto</t>
  </si>
  <si>
    <t>Wypłata dywidendy</t>
  </si>
  <si>
    <t>Suma dochodów całkowitych</t>
  </si>
  <si>
    <t>Dynamika (PLN)</t>
  </si>
  <si>
    <t>2013 PLN</t>
  </si>
  <si>
    <t>2013 EUR</t>
  </si>
  <si>
    <t>Amortyzacja</t>
  </si>
  <si>
    <t>Zysk (strata) ze sprzedaży brutto</t>
  </si>
  <si>
    <t>Zysk (strata) ze sprzedaży netto</t>
  </si>
  <si>
    <t>Zysk (strata) z działalności operacyjnej</t>
  </si>
  <si>
    <t>Zysk z działalności gospodarczej</t>
  </si>
  <si>
    <t>*</t>
  </si>
  <si>
    <t>EBITDA</t>
  </si>
  <si>
    <t>Zysk (strata) brutto</t>
  </si>
  <si>
    <t>Aktywa razem, w tym:</t>
  </si>
  <si>
    <t>Środki pieniężne i inne aktywa pieniężne</t>
  </si>
  <si>
    <t>Należności razem, w tym:</t>
  </si>
  <si>
    <t>Należności krótkoterminowe</t>
  </si>
  <si>
    <t>Należności  długoterminowe</t>
  </si>
  <si>
    <t>Zobowiązania i rezerwy na zobowiązania, w tym:</t>
  </si>
  <si>
    <t>Zobowiązania długoterminowe</t>
  </si>
  <si>
    <t>Kapitał własny, w tym:</t>
  </si>
  <si>
    <t>Kapitał podstawowy</t>
  </si>
  <si>
    <t>Wskaźnik rentowności operacyjnej</t>
  </si>
  <si>
    <t>Wskaźnik rentowności EBITDA</t>
  </si>
  <si>
    <t>Wskaźnik rentowności netto</t>
  </si>
  <si>
    <t>Wskaźnik rentowności kapitału własnego (ROE)</t>
  </si>
  <si>
    <t>Wskaźnik rentowności majątku (ROA)</t>
  </si>
  <si>
    <t>Wskaźnik ogólnej płynności</t>
  </si>
  <si>
    <t>Wskaźnik ogólnego zadłużenia</t>
  </si>
  <si>
    <t>Kurs euro na dzień bilansowy</t>
  </si>
  <si>
    <t>Średni kurs euro w okresie</t>
  </si>
  <si>
    <t>II. Korekty razem</t>
  </si>
  <si>
    <t>1. Amortyzacja (w tym odpisy wartości firmy lub ujemnej wartości firmy)</t>
  </si>
  <si>
    <t>2. Zyski (straty) z tytułu różnic kursowych</t>
  </si>
  <si>
    <t>3. Odsetki i udziały w zyskach (dywidendy)</t>
  </si>
  <si>
    <t>4. Zysk (strata) z działalnosci inwestycyjnej</t>
  </si>
  <si>
    <t>5. Zmiana stanu rezerw</t>
  </si>
  <si>
    <t>6. Zmiana stanu zapasów</t>
  </si>
  <si>
    <t>7. Zmiana stanu należności</t>
  </si>
  <si>
    <t>8. Zmiana stanu zobowiązań krótkoterminowych, z z wyjątkiem pożyczek i kredytów</t>
  </si>
  <si>
    <t>9. Zmiana stanu rozliczeń międzyokresowych</t>
  </si>
  <si>
    <t>10. Inne korekty z działalności operacyjnej</t>
  </si>
  <si>
    <t>III. Przepływy pieniężne netto z działalności operacyjnej (I+/–II)</t>
  </si>
  <si>
    <t>I. Wpływy</t>
  </si>
  <si>
    <t>1. Zbycie wartości niematerialnych i prawnych oraz rzeczowych aktywów trwałych</t>
  </si>
  <si>
    <t>2. Zbycie inwestycji w nieruchomości oraz wartości niematerialne i prawne</t>
  </si>
  <si>
    <t>4. Inne wpływy inwestycyjne</t>
  </si>
  <si>
    <t>II. Wydatki</t>
  </si>
  <si>
    <t>1. Nabycie wartości niematerialnych i prawnych oraz rzeczowych aktywów trwałych</t>
  </si>
  <si>
    <t>2. Inwestycje w nieruchomości oraz wartości niematerialane i prawne</t>
  </si>
  <si>
    <t>4. Inne wydatki inwestycyjne</t>
  </si>
  <si>
    <t>III. Przepływy pieniężne netto z działalności inwestycyjnej (I–II)</t>
  </si>
  <si>
    <t>III. Przepływy pieniężne netto z działalności finansowej (I–II)</t>
  </si>
  <si>
    <t>D. Przepływy pieniężne netto razem (A.III.+/–B.III+/–C.III)</t>
  </si>
  <si>
    <t>E. Bilansowa zmiana stanu środków pieniężnych, w tym:</t>
  </si>
  <si>
    <t>– zmiana stanu środków pienięznych z tytułu różnic kursowych</t>
  </si>
  <si>
    <t>F. Środki pieniężne na początek okresu</t>
  </si>
  <si>
    <t>G. Środki pieniężne na koniec okresu (F+D), w tym</t>
  </si>
  <si>
    <t>– o ograniczonej mozliwości dysponowania</t>
  </si>
  <si>
    <t>A. DZIAŁALNOŚĆ OPERACYJNA</t>
  </si>
  <si>
    <t>B. DZIAŁALNOŚĆ INWESTYCYJNA</t>
  </si>
  <si>
    <t>C. DZIAŁALNOŚĆ FINANSOWA</t>
  </si>
  <si>
    <t>I. Zysk (strata) przed opodatkowaniem</t>
  </si>
  <si>
    <t>3. Z aktywów finansowych</t>
  </si>
  <si>
    <t>udział w zyskach (stratach) netto jednostek wycenianych metodą praw własności</t>
  </si>
  <si>
    <t>Kapitał własny na dzień  01.01.2013 r.</t>
  </si>
  <si>
    <t>Kapitał własny na dzień  01.01.2014 r.</t>
  </si>
  <si>
    <t>2014 PLN</t>
  </si>
  <si>
    <t>2014 EUR</t>
  </si>
  <si>
    <t>3. Na aktywa finansowe</t>
  </si>
  <si>
    <t>2Q</t>
  </si>
  <si>
    <t>1-2Q</t>
  </si>
  <si>
    <t>30.06</t>
  </si>
  <si>
    <t>za okres 01.04.2013 - 30.06.2013</t>
  </si>
  <si>
    <t>za okres 01.01.2013 - 30.06.2013</t>
  </si>
  <si>
    <t>za okres 01.04.2014 - 30.06.2014</t>
  </si>
  <si>
    <t>za okres 01.01.2014 - 30.06.2014</t>
  </si>
  <si>
    <t>stan na 30.06.2013 r.</t>
  </si>
  <si>
    <t>stan na 30.06.2014 r.</t>
  </si>
  <si>
    <t>sześć miesięcy zakończonych - 30.06.2014 r.</t>
  </si>
  <si>
    <t>Kapitał własny na dzień  30.06.2014 r.</t>
  </si>
  <si>
    <t>sześć miesięcy zakończonych - 30.06.2013r.</t>
  </si>
  <si>
    <t>Kapitał własny na dzień  30.06.2013 r.</t>
  </si>
  <si>
    <t>(30.06.)</t>
  </si>
  <si>
    <t>1-2 Q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</si>
</sst>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  <numFmt numFmtId="165" formatCode="#,##0.00_ ;\-#,##0.00\ "/>
    <numFmt numFmtId="166" formatCode="0.00_ ;\-0.00\ "/>
    <numFmt numFmtId="167" formatCode="0.00000000"/>
    <numFmt numFmtId="168" formatCode="0.0000000"/>
    <numFmt numFmtId="169" formatCode="0.000000"/>
    <numFmt numFmtId="170" formatCode="0.00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Calibri"/>
      <family val="2"/>
    </font>
    <font>
      <b/>
      <sz val="9"/>
      <color indexed="60"/>
      <name val="Calibri"/>
      <family val="2"/>
    </font>
    <font>
      <sz val="8"/>
      <color indexed="8"/>
      <name val="Arial"/>
      <family val="2"/>
    </font>
    <font>
      <sz val="1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b/>
      <sz val="9"/>
      <color rgb="FFC00000"/>
      <name val="Calibri"/>
      <family val="2"/>
    </font>
    <font>
      <sz val="8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rgb="FF808080"/>
      </left>
      <right style="thin">
        <color rgb="FF808080"/>
      </right>
      <top style="thin">
        <color rgb="FF808080"/>
      </top>
      <bottom style="double">
        <color rgb="FF808080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1" tint="0.49998000264167786"/>
      </left>
      <right style="thin">
        <color theme="1" tint="0.49998000264167786"/>
      </right>
      <top/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/>
      <bottom/>
    </border>
    <border>
      <left style="thin">
        <color theme="0" tint="-0.4999699890613556"/>
      </left>
      <right style="thin">
        <color theme="0" tint="-0.4999699890613556"/>
      </right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double">
        <color theme="0" tint="-0.4999699890613556"/>
      </top>
      <bottom/>
    </border>
    <border>
      <left style="double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double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double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double">
        <color theme="0" tint="-0.4999699890613556"/>
      </bottom>
    </border>
    <border>
      <left style="thin">
        <color theme="0" tint="-0.4999699890613556"/>
      </left>
      <right style="double">
        <color theme="0" tint="-0.4999699890613556"/>
      </right>
      <top style="thin">
        <color theme="0" tint="-0.4999699890613556"/>
      </top>
      <bottom style="double">
        <color theme="0" tint="-0.4999699890613556"/>
      </bottom>
    </border>
    <border>
      <left style="thin"/>
      <right style="thin">
        <color theme="0" tint="-0.4999699890613556"/>
      </right>
      <top style="thin">
        <color rgb="FF808080"/>
      </top>
      <bottom style="thin">
        <color rgb="FF808080"/>
      </bottom>
    </border>
    <border>
      <left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rgb="FF808080"/>
      </left>
      <right style="double">
        <color rgb="FF808080"/>
      </right>
      <top/>
      <bottom style="thin">
        <color rgb="FF808080"/>
      </bottom>
    </border>
    <border>
      <left style="thin">
        <color rgb="FF808080"/>
      </left>
      <right style="double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 style="double">
        <color rgb="FF808080"/>
      </right>
      <top style="thin">
        <color rgb="FF808080"/>
      </top>
      <bottom style="double">
        <color rgb="FF808080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double">
        <color rgb="FF808080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/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medium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thin">
        <color theme="0" tint="-0.4999699890613556"/>
      </left>
      <right style="double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1" tint="0.49998000264167786"/>
      </left>
      <right style="thin">
        <color theme="1" tint="0.49998000264167786"/>
      </right>
      <top style="double">
        <color theme="1" tint="0.49998000264167786"/>
      </top>
      <bottom/>
    </border>
    <border>
      <left style="double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double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double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double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double">
        <color theme="1" tint="0.49998000264167786"/>
      </bottom>
    </border>
    <border>
      <left style="thin">
        <color theme="1" tint="0.49998000264167786"/>
      </left>
      <right style="medium">
        <color theme="1" tint="0.49998000264167786"/>
      </right>
      <top style="thin">
        <color theme="1" tint="0.49998000264167786"/>
      </top>
      <bottom style="double">
        <color theme="1" tint="0.49998000264167786"/>
      </bottom>
    </border>
    <border>
      <left style="thin">
        <color theme="1" tint="0.49998000264167786"/>
      </left>
      <right style="double">
        <color theme="1" tint="0.49998000264167786"/>
      </right>
      <top style="thin">
        <color theme="1" tint="0.49998000264167786"/>
      </top>
      <bottom style="double">
        <color theme="1" tint="0.49998000264167786"/>
      </bottom>
    </border>
    <border>
      <left/>
      <right/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/>
      <top style="thin">
        <color theme="1" tint="0.49998000264167786"/>
      </top>
      <bottom style="thin">
        <color theme="1" tint="0.49998000264167786"/>
      </bottom>
    </border>
    <border>
      <left/>
      <right style="double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/>
      <right/>
      <top style="thin">
        <color theme="1" tint="0.49998000264167786"/>
      </top>
      <bottom style="double">
        <color theme="1" tint="0.49998000264167786"/>
      </bottom>
    </border>
    <border>
      <left style="thin">
        <color theme="1" tint="0.49998000264167786"/>
      </left>
      <right/>
      <top style="thin">
        <color theme="1" tint="0.49998000264167786"/>
      </top>
      <bottom style="double">
        <color theme="1" tint="0.49998000264167786"/>
      </bottom>
    </border>
    <border>
      <left/>
      <right style="double">
        <color theme="1" tint="0.49998000264167786"/>
      </right>
      <top style="thin">
        <color theme="1" tint="0.49998000264167786"/>
      </top>
      <bottom style="double">
        <color theme="1" tint="0.49998000264167786"/>
      </bottom>
    </border>
    <border>
      <left style="double">
        <color rgb="FF808080"/>
      </left>
      <right/>
      <top style="double">
        <color rgb="FF808080"/>
      </top>
      <bottom style="thin">
        <color rgb="FF808080"/>
      </bottom>
    </border>
    <border>
      <left style="thin">
        <color theme="0" tint="-0.4999699890613556"/>
      </left>
      <right style="double">
        <color rgb="FF808080"/>
      </right>
      <top style="thin">
        <color theme="0" tint="-0.4999699890613556"/>
      </top>
      <bottom style="thin">
        <color theme="0" tint="-0.4999699890613556"/>
      </bottom>
    </border>
    <border>
      <left/>
      <right style="thin">
        <color rgb="FF808080"/>
      </right>
      <top/>
      <bottom style="thin">
        <color rgb="FF808080"/>
      </bottom>
    </border>
    <border>
      <left/>
      <right style="thin">
        <color rgb="FF808080"/>
      </right>
      <top style="thin">
        <color rgb="FF808080"/>
      </top>
      <bottom style="double">
        <color rgb="FF808080"/>
      </bottom>
    </border>
    <border>
      <left style="thin">
        <color theme="0" tint="-0.4999699890613556"/>
      </left>
      <right style="medium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rgb="FF808080"/>
      </left>
      <right style="medium">
        <color theme="0" tint="-0.4999699890613556"/>
      </right>
      <top/>
      <bottom style="thin">
        <color rgb="FF808080"/>
      </bottom>
    </border>
    <border>
      <left style="thin">
        <color rgb="FF808080"/>
      </left>
      <right style="medium">
        <color theme="0" tint="-0.4999699890613556"/>
      </right>
      <top style="thin">
        <color rgb="FF808080"/>
      </top>
      <bottom style="thin">
        <color rgb="FF808080"/>
      </bottom>
    </border>
    <border>
      <left style="thin">
        <color rgb="FF808080"/>
      </left>
      <right style="medium">
        <color theme="0" tint="-0.4999699890613556"/>
      </right>
      <top style="thin">
        <color rgb="FF808080"/>
      </top>
      <bottom style="double">
        <color rgb="FF808080"/>
      </bottom>
    </border>
    <border>
      <left style="double">
        <color rgb="FF808080"/>
      </left>
      <right style="thin">
        <color rgb="FF808080"/>
      </right>
      <top style="double">
        <color rgb="FF808080"/>
      </top>
      <bottom style="thin">
        <color rgb="FF808080"/>
      </bottom>
    </border>
    <border>
      <left style="thin">
        <color rgb="FF808080"/>
      </left>
      <right style="medium">
        <color rgb="FF808080"/>
      </right>
      <top style="thin">
        <color theme="0" tint="-0.4999699890613556"/>
      </top>
      <bottom style="thin">
        <color rgb="FF808080"/>
      </bottom>
    </border>
    <border>
      <left style="thin">
        <color rgb="FF808080"/>
      </left>
      <right style="medium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 style="medium">
        <color rgb="FF808080"/>
      </right>
      <top style="thin">
        <color rgb="FF808080"/>
      </top>
      <bottom style="double">
        <color rgb="FF808080"/>
      </bottom>
    </border>
    <border>
      <left style="double">
        <color theme="0" tint="-0.4999699890613556"/>
      </left>
      <right/>
      <top style="double">
        <color theme="0" tint="-0.4999699890613556"/>
      </top>
      <bottom/>
    </border>
    <border>
      <left/>
      <right/>
      <top style="double">
        <color theme="0" tint="-0.4999699890613556"/>
      </top>
      <bottom/>
    </border>
    <border>
      <left/>
      <right style="double">
        <color theme="0" tint="-0.4999699890613556"/>
      </right>
      <top style="double">
        <color theme="0" tint="-0.4999699890613556"/>
      </top>
      <bottom/>
    </border>
    <border>
      <left/>
      <right style="double">
        <color rgb="FF808080"/>
      </right>
      <top style="double">
        <color rgb="FF808080"/>
      </top>
      <bottom style="thin">
        <color rgb="FF808080"/>
      </bottom>
    </border>
    <border>
      <left/>
      <right/>
      <top style="double">
        <color rgb="FF808080"/>
      </top>
      <bottom style="thin">
        <color rgb="FF808080"/>
      </bottom>
    </border>
    <border>
      <left style="double">
        <color rgb="FF808080"/>
      </left>
      <right/>
      <top style="double">
        <color rgb="FF808080"/>
      </top>
      <bottom/>
    </border>
    <border>
      <left/>
      <right/>
      <top style="double">
        <color rgb="FF808080"/>
      </top>
      <bottom/>
    </border>
    <border>
      <left/>
      <right style="double">
        <color theme="0" tint="-0.4999699890613556"/>
      </right>
      <top style="double">
        <color rgb="FF808080"/>
      </top>
      <bottom/>
    </border>
    <border>
      <left style="double">
        <color theme="1" tint="0.49998000264167786"/>
      </left>
      <right/>
      <top style="double">
        <color theme="1" tint="0.49998000264167786"/>
      </top>
      <bottom style="thin">
        <color theme="1" tint="0.49998000264167786"/>
      </bottom>
    </border>
    <border>
      <left style="double">
        <color theme="1" tint="0.49998000264167786"/>
      </left>
      <right/>
      <top style="thin">
        <color theme="1" tint="0.49998000264167786"/>
      </top>
      <bottom style="thin">
        <color theme="1" tint="0.49998000264167786"/>
      </bottom>
    </border>
    <border>
      <left style="double">
        <color theme="1" tint="0.49998000264167786"/>
      </left>
      <right/>
      <top/>
      <bottom style="thin">
        <color theme="1" tint="0.49998000264167786"/>
      </bottom>
    </border>
    <border>
      <left style="double">
        <color theme="0" tint="-0.4999699890613556"/>
      </left>
      <right style="thin">
        <color theme="0" tint="-0.4999699890613556"/>
      </right>
      <top style="double">
        <color theme="0" tint="-0.4999699890613556"/>
      </top>
      <bottom style="thin">
        <color theme="0" tint="-0.4999699890613556"/>
      </bottom>
    </border>
    <border>
      <left/>
      <right style="double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/>
      <right style="thin">
        <color theme="0" tint="-0.4999699890613556"/>
      </right>
      <top style="thin">
        <color theme="0" tint="-0.4999699890613556"/>
      </top>
      <bottom style="double">
        <color theme="0" tint="-0.4999699890613556"/>
      </bottom>
    </border>
    <border>
      <left>
        <color indexed="63"/>
      </left>
      <right style="double">
        <color theme="0" tint="-0.4999699890613556"/>
      </right>
      <top style="thin">
        <color theme="0" tint="-0.4999699890613556"/>
      </top>
      <bottom style="double">
        <color theme="0" tint="-0.4999699890613556"/>
      </bottom>
    </border>
    <border>
      <left style="thin">
        <color theme="1" tint="0.49998000264167786"/>
      </left>
      <right style="medium">
        <color theme="1" tint="0.49998000264167786"/>
      </right>
      <top style="double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double">
        <color theme="1" tint="0.49998000264167786"/>
      </right>
      <top style="double">
        <color theme="1" tint="0.49998000264167786"/>
      </top>
      <bottom style="thin">
        <color theme="1" tint="0.49998000264167786"/>
      </bottom>
    </border>
    <border>
      <left style="thin">
        <color theme="0" tint="-0.4999699890613556"/>
      </left>
      <right style="double">
        <color theme="0" tint="-0.4999699890613556"/>
      </right>
      <top style="double">
        <color theme="0" tint="-0.4999699890613556"/>
      </top>
      <bottom/>
    </border>
    <border>
      <left style="thin">
        <color theme="0" tint="-0.4999699890613556"/>
      </left>
      <right style="double">
        <color theme="0" tint="-0.4999699890613556"/>
      </right>
      <top/>
      <bottom style="thin">
        <color theme="0" tint="-0.4999699890613556"/>
      </bottom>
    </border>
    <border>
      <left style="thin">
        <color theme="1" tint="0.49998000264167786"/>
      </left>
      <right/>
      <top style="double">
        <color theme="1" tint="0.49998000264167786"/>
      </top>
      <bottom/>
    </border>
    <border>
      <left>
        <color indexed="63"/>
      </left>
      <right style="thin">
        <color theme="1" tint="0.49998000264167786"/>
      </right>
      <top style="double">
        <color theme="1" tint="0.49998000264167786"/>
      </top>
      <bottom/>
    </border>
    <border>
      <left/>
      <right style="double">
        <color theme="1" tint="0.49998000264167786"/>
      </right>
      <top style="double">
        <color theme="1" tint="0.49998000264167786"/>
      </top>
      <bottom/>
    </border>
    <border>
      <left style="thin">
        <color theme="1" tint="0.49998000264167786"/>
      </left>
      <right/>
      <top/>
      <bottom style="thin">
        <color theme="1" tint="0.49998000264167786"/>
      </bottom>
    </border>
    <border>
      <left/>
      <right style="thin">
        <color theme="1" tint="0.49998000264167786"/>
      </right>
      <top/>
      <bottom style="thin">
        <color theme="1" tint="0.49998000264167786"/>
      </bottom>
    </border>
    <border>
      <left/>
      <right style="double">
        <color theme="1" tint="0.49998000264167786"/>
      </right>
      <top/>
      <bottom style="thin">
        <color theme="1" tint="0.49998000264167786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03">
    <xf numFmtId="0" fontId="0" fillId="0" borderId="0" xfId="0" applyFont="1" applyAlignment="1">
      <alignment/>
    </xf>
    <xf numFmtId="49" fontId="3" fillId="33" borderId="10" xfId="52" applyNumberFormat="1" applyFont="1" applyFill="1" applyBorder="1" applyAlignment="1">
      <alignment vertical="center" wrapText="1"/>
      <protection/>
    </xf>
    <xf numFmtId="49" fontId="4" fillId="0" borderId="10" xfId="52" applyNumberFormat="1" applyFont="1" applyFill="1" applyBorder="1" applyAlignment="1">
      <alignment horizontal="left" vertical="center" wrapText="1"/>
      <protection/>
    </xf>
    <xf numFmtId="49" fontId="4" fillId="0" borderId="10" xfId="52" applyNumberFormat="1" applyFont="1" applyFill="1" applyBorder="1" applyAlignment="1">
      <alignment vertical="center" wrapText="1"/>
      <protection/>
    </xf>
    <xf numFmtId="49" fontId="5" fillId="33" borderId="10" xfId="52" applyNumberFormat="1" applyFont="1" applyFill="1" applyBorder="1" applyAlignment="1">
      <alignment vertical="center" wrapText="1"/>
      <protection/>
    </xf>
    <xf numFmtId="0" fontId="3" fillId="33" borderId="10" xfId="0" applyFont="1" applyFill="1" applyBorder="1" applyAlignment="1">
      <alignment horizontal="justify" vertical="center" wrapText="1"/>
    </xf>
    <xf numFmtId="0" fontId="4" fillId="0" borderId="10" xfId="0" applyFont="1" applyBorder="1" applyAlignment="1">
      <alignment horizontal="justify" wrapText="1"/>
    </xf>
    <xf numFmtId="49" fontId="3" fillId="33" borderId="10" xfId="52" applyNumberFormat="1" applyFont="1" applyFill="1" applyBorder="1" applyAlignment="1">
      <alignment horizontal="left" vertical="center" wrapText="1"/>
      <protection/>
    </xf>
    <xf numFmtId="49" fontId="3" fillId="33" borderId="11" xfId="52" applyNumberFormat="1" applyFont="1" applyFill="1" applyBorder="1" applyAlignment="1">
      <alignment horizontal="left" vertical="center" wrapText="1"/>
      <protection/>
    </xf>
    <xf numFmtId="0" fontId="3" fillId="34" borderId="12" xfId="52" applyFont="1" applyFill="1" applyBorder="1" applyAlignment="1">
      <alignment horizontal="center" vertical="center" wrapText="1"/>
      <protection/>
    </xf>
    <xf numFmtId="49" fontId="3" fillId="35" borderId="10" xfId="52" applyNumberFormat="1" applyFont="1" applyFill="1" applyBorder="1" applyAlignment="1">
      <alignment vertical="center" wrapText="1"/>
      <protection/>
    </xf>
    <xf numFmtId="0" fontId="3" fillId="35" borderId="10" xfId="0" applyFont="1" applyFill="1" applyBorder="1" applyAlignment="1">
      <alignment/>
    </xf>
    <xf numFmtId="49" fontId="3" fillId="35" borderId="11" xfId="52" applyNumberFormat="1" applyFont="1" applyFill="1" applyBorder="1" applyAlignment="1">
      <alignment vertical="center" wrapText="1"/>
      <protection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0" xfId="52" applyFont="1" applyBorder="1">
      <alignment/>
      <protection/>
    </xf>
    <xf numFmtId="0" fontId="4" fillId="33" borderId="11" xfId="52" applyFont="1" applyFill="1" applyBorder="1">
      <alignment/>
      <protection/>
    </xf>
    <xf numFmtId="4" fontId="4" fillId="0" borderId="10" xfId="0" applyNumberFormat="1" applyFont="1" applyFill="1" applyBorder="1" applyAlignment="1" applyProtection="1">
      <alignment horizontal="left" vertical="center" wrapText="1"/>
      <protection/>
    </xf>
    <xf numFmtId="4" fontId="4" fillId="0" borderId="10" xfId="0" applyNumberFormat="1" applyFont="1" applyFill="1" applyBorder="1" applyAlignment="1" applyProtection="1">
      <alignment horizontal="left" vertical="center"/>
      <protection/>
    </xf>
    <xf numFmtId="4" fontId="3" fillId="35" borderId="10" xfId="0" applyNumberFormat="1" applyFont="1" applyFill="1" applyBorder="1" applyAlignment="1" applyProtection="1">
      <alignment horizontal="left" vertical="center" wrapText="1"/>
      <protection/>
    </xf>
    <xf numFmtId="4" fontId="3" fillId="35" borderId="11" xfId="0" applyNumberFormat="1" applyFont="1" applyFill="1" applyBorder="1" applyAlignment="1" applyProtection="1">
      <alignment horizontal="left" vertical="center" wrapText="1"/>
      <protection/>
    </xf>
    <xf numFmtId="0" fontId="8" fillId="35" borderId="13" xfId="0" applyFont="1" applyFill="1" applyBorder="1" applyAlignment="1">
      <alignment horizontal="center" vertical="top"/>
    </xf>
    <xf numFmtId="0" fontId="4" fillId="0" borderId="11" xfId="52" applyFont="1" applyBorder="1">
      <alignment/>
      <protection/>
    </xf>
    <xf numFmtId="0" fontId="8" fillId="35" borderId="14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164" fontId="7" fillId="0" borderId="12" xfId="0" applyNumberFormat="1" applyFont="1" applyFill="1" applyBorder="1" applyAlignment="1">
      <alignment horizontal="center"/>
    </xf>
    <xf numFmtId="0" fontId="6" fillId="36" borderId="15" xfId="0" applyFont="1" applyFill="1" applyBorder="1" applyAlignment="1">
      <alignment horizontal="center" vertical="center"/>
    </xf>
    <xf numFmtId="0" fontId="6" fillId="36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/>
    </xf>
    <xf numFmtId="164" fontId="50" fillId="0" borderId="20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0" fontId="51" fillId="0" borderId="0" xfId="0" applyFont="1" applyFill="1" applyBorder="1" applyAlignment="1">
      <alignment horizontal="center"/>
    </xf>
    <xf numFmtId="0" fontId="51" fillId="0" borderId="0" xfId="0" applyFont="1" applyFill="1" applyBorder="1" applyAlignment="1">
      <alignment horizontal="center" vertical="top"/>
    </xf>
    <xf numFmtId="0" fontId="52" fillId="0" borderId="0" xfId="0" applyFont="1" applyAlignment="1">
      <alignment/>
    </xf>
    <xf numFmtId="0" fontId="3" fillId="35" borderId="17" xfId="53" applyFont="1" applyFill="1" applyBorder="1" applyAlignment="1">
      <alignment horizontal="left" vertical="center" wrapText="1"/>
      <protection/>
    </xf>
    <xf numFmtId="0" fontId="3" fillId="0" borderId="17" xfId="53" applyFont="1" applyFill="1" applyBorder="1" applyAlignment="1">
      <alignment vertical="center" wrapText="1"/>
      <protection/>
    </xf>
    <xf numFmtId="0" fontId="4" fillId="0" borderId="17" xfId="53" applyFont="1" applyFill="1" applyBorder="1" applyAlignment="1">
      <alignment horizontal="left" vertical="center" wrapText="1" indent="4"/>
      <protection/>
    </xf>
    <xf numFmtId="0" fontId="3" fillId="35" borderId="17" xfId="53" applyFont="1" applyFill="1" applyBorder="1" applyAlignment="1">
      <alignment vertical="center" wrapText="1"/>
      <protection/>
    </xf>
    <xf numFmtId="0" fontId="4" fillId="0" borderId="17" xfId="53" applyFont="1" applyFill="1" applyBorder="1" applyAlignment="1">
      <alignment horizontal="left" vertical="center" wrapText="1" indent="8"/>
      <protection/>
    </xf>
    <xf numFmtId="0" fontId="4" fillId="0" borderId="18" xfId="53" applyFont="1" applyFill="1" applyBorder="1" applyAlignment="1">
      <alignment horizontal="left" vertical="center" wrapText="1" indent="8"/>
      <protection/>
    </xf>
    <xf numFmtId="0" fontId="0" fillId="0" borderId="0" xfId="0" applyFill="1" applyAlignment="1">
      <alignment/>
    </xf>
    <xf numFmtId="49" fontId="3" fillId="0" borderId="21" xfId="52" applyNumberFormat="1" applyFont="1" applyFill="1" applyBorder="1" applyAlignment="1">
      <alignment horizontal="left" vertical="center" wrapText="1"/>
      <protection/>
    </xf>
    <xf numFmtId="0" fontId="3" fillId="35" borderId="22" xfId="53" applyFont="1" applyFill="1" applyBorder="1" applyAlignment="1">
      <alignment horizontal="left" vertical="center" wrapText="1"/>
      <protection/>
    </xf>
    <xf numFmtId="4" fontId="3" fillId="33" borderId="23" xfId="52" applyNumberFormat="1" applyFont="1" applyFill="1" applyBorder="1" applyAlignment="1">
      <alignment horizontal="right" vertical="center" wrapText="1"/>
      <protection/>
    </xf>
    <xf numFmtId="4" fontId="4" fillId="0" borderId="24" xfId="52" applyNumberFormat="1" applyFont="1" applyFill="1" applyBorder="1" applyAlignment="1">
      <alignment horizontal="right" vertical="center" wrapText="1"/>
      <protection/>
    </xf>
    <xf numFmtId="4" fontId="3" fillId="33" borderId="24" xfId="52" applyNumberFormat="1" applyFont="1" applyFill="1" applyBorder="1" applyAlignment="1">
      <alignment horizontal="right" vertical="center" wrapText="1"/>
      <protection/>
    </xf>
    <xf numFmtId="4" fontId="3" fillId="33" borderId="25" xfId="52" applyNumberFormat="1" applyFont="1" applyFill="1" applyBorder="1" applyAlignment="1" applyProtection="1">
      <alignment horizontal="right" vertical="center" wrapText="1"/>
      <protection locked="0"/>
    </xf>
    <xf numFmtId="4" fontId="3" fillId="0" borderId="24" xfId="52" applyNumberFormat="1" applyFont="1" applyFill="1" applyBorder="1" applyAlignment="1">
      <alignment horizontal="right" vertical="center" wrapText="1"/>
      <protection/>
    </xf>
    <xf numFmtId="4" fontId="5" fillId="33" borderId="26" xfId="52" applyNumberFormat="1" applyFont="1" applyFill="1" applyBorder="1" applyAlignment="1">
      <alignment horizontal="right" vertical="center" wrapText="1"/>
      <protection/>
    </xf>
    <xf numFmtId="4" fontId="4" fillId="0" borderId="26" xfId="52" applyNumberFormat="1" applyFont="1" applyBorder="1" applyAlignment="1">
      <alignment horizontal="right"/>
      <protection/>
    </xf>
    <xf numFmtId="4" fontId="5" fillId="33" borderId="25" xfId="52" applyNumberFormat="1" applyFont="1" applyFill="1" applyBorder="1" applyAlignment="1">
      <alignment horizontal="right" vertical="center" wrapText="1"/>
      <protection/>
    </xf>
    <xf numFmtId="4" fontId="5" fillId="33" borderId="24" xfId="52" applyNumberFormat="1" applyFont="1" applyFill="1" applyBorder="1" applyAlignment="1">
      <alignment horizontal="right" vertical="center" wrapText="1"/>
      <protection/>
    </xf>
    <xf numFmtId="4" fontId="4" fillId="0" borderId="27" xfId="52" applyNumberFormat="1" applyFont="1" applyFill="1" applyBorder="1" applyAlignment="1">
      <alignment horizontal="right" vertical="center" wrapText="1"/>
      <protection/>
    </xf>
    <xf numFmtId="4" fontId="5" fillId="33" borderId="27" xfId="52" applyNumberFormat="1" applyFont="1" applyFill="1" applyBorder="1" applyAlignment="1">
      <alignment horizontal="right" vertical="center" wrapText="1"/>
      <protection/>
    </xf>
    <xf numFmtId="0" fontId="28" fillId="0" borderId="0" xfId="0" applyFont="1" applyAlignment="1">
      <alignment/>
    </xf>
    <xf numFmtId="4" fontId="3" fillId="35" borderId="24" xfId="52" applyNumberFormat="1" applyFont="1" applyFill="1" applyBorder="1" applyAlignment="1">
      <alignment horizontal="right" vertical="center" wrapText="1"/>
      <protection/>
    </xf>
    <xf numFmtId="4" fontId="3" fillId="35" borderId="25" xfId="52" applyNumberFormat="1" applyFont="1" applyFill="1" applyBorder="1" applyAlignment="1">
      <alignment horizontal="right" vertical="center" wrapText="1"/>
      <protection/>
    </xf>
    <xf numFmtId="4" fontId="3" fillId="35" borderId="24" xfId="52" applyNumberFormat="1" applyFont="1" applyFill="1" applyBorder="1" applyAlignment="1">
      <alignment vertical="center" wrapText="1"/>
      <protection/>
    </xf>
    <xf numFmtId="4" fontId="4" fillId="0" borderId="24" xfId="52" applyNumberFormat="1" applyFont="1" applyFill="1" applyBorder="1" applyAlignment="1">
      <alignment vertical="center" wrapText="1"/>
      <protection/>
    </xf>
    <xf numFmtId="4" fontId="4" fillId="0" borderId="25" xfId="52" applyNumberFormat="1" applyFont="1" applyBorder="1">
      <alignment/>
      <protection/>
    </xf>
    <xf numFmtId="4" fontId="28" fillId="0" borderId="0" xfId="0" applyNumberFormat="1" applyFont="1" applyAlignment="1">
      <alignment/>
    </xf>
    <xf numFmtId="4" fontId="3" fillId="35" borderId="27" xfId="0" applyNumberFormat="1" applyFont="1" applyFill="1" applyBorder="1" applyAlignment="1" applyProtection="1">
      <alignment horizontal="right" vertical="center"/>
      <protection/>
    </xf>
    <xf numFmtId="4" fontId="3" fillId="35" borderId="24" xfId="0" applyNumberFormat="1" applyFont="1" applyFill="1" applyBorder="1" applyAlignment="1" applyProtection="1">
      <alignment horizontal="right" vertical="center"/>
      <protection/>
    </xf>
    <xf numFmtId="4" fontId="4" fillId="0" borderId="27" xfId="0" applyNumberFormat="1" applyFont="1" applyFill="1" applyBorder="1" applyAlignment="1" applyProtection="1">
      <alignment horizontal="right" vertical="center"/>
      <protection/>
    </xf>
    <xf numFmtId="4" fontId="4" fillId="0" borderId="24" xfId="0" applyNumberFormat="1" applyFont="1" applyFill="1" applyBorder="1" applyAlignment="1" applyProtection="1">
      <alignment horizontal="right" vertical="center"/>
      <protection/>
    </xf>
    <xf numFmtId="4" fontId="3" fillId="35" borderId="28" xfId="0" applyNumberFormat="1" applyFont="1" applyFill="1" applyBorder="1" applyAlignment="1" applyProtection="1">
      <alignment horizontal="right" vertical="center"/>
      <protection/>
    </xf>
    <xf numFmtId="4" fontId="3" fillId="35" borderId="25" xfId="0" applyNumberFormat="1" applyFont="1" applyFill="1" applyBorder="1" applyAlignment="1" applyProtection="1">
      <alignment horizontal="right" vertical="center"/>
      <protection/>
    </xf>
    <xf numFmtId="4" fontId="7" fillId="0" borderId="29" xfId="0" applyNumberFormat="1" applyFont="1" applyFill="1" applyBorder="1" applyAlignment="1">
      <alignment horizontal="right" vertical="center"/>
    </xf>
    <xf numFmtId="4" fontId="7" fillId="37" borderId="29" xfId="0" applyNumberFormat="1" applyFont="1" applyFill="1" applyBorder="1" applyAlignment="1">
      <alignment horizontal="right" vertical="center"/>
    </xf>
    <xf numFmtId="4" fontId="7" fillId="0" borderId="30" xfId="0" applyNumberFormat="1" applyFont="1" applyFill="1" applyBorder="1" applyAlignment="1">
      <alignment horizontal="right" vertical="center"/>
    </xf>
    <xf numFmtId="4" fontId="7" fillId="37" borderId="30" xfId="0" applyNumberFormat="1" applyFont="1" applyFill="1" applyBorder="1" applyAlignment="1">
      <alignment horizontal="right" vertical="center"/>
    </xf>
    <xf numFmtId="4" fontId="7" fillId="37" borderId="29" xfId="0" applyNumberFormat="1" applyFont="1" applyFill="1" applyBorder="1" applyAlignment="1">
      <alignment horizontal="right"/>
    </xf>
    <xf numFmtId="4" fontId="7" fillId="0" borderId="29" xfId="0" applyNumberFormat="1" applyFont="1" applyFill="1" applyBorder="1" applyAlignment="1">
      <alignment horizontal="right"/>
    </xf>
    <xf numFmtId="4" fontId="5" fillId="33" borderId="28" xfId="52" applyNumberFormat="1" applyFont="1" applyFill="1" applyBorder="1" applyAlignment="1">
      <alignment horizontal="right" vertical="center" wrapText="1"/>
      <protection/>
    </xf>
    <xf numFmtId="2" fontId="7" fillId="0" borderId="31" xfId="56" applyNumberFormat="1" applyFont="1" applyFill="1" applyBorder="1" applyAlignment="1">
      <alignment horizontal="center" vertical="center"/>
    </xf>
    <xf numFmtId="2" fontId="7" fillId="37" borderId="31" xfId="56" applyNumberFormat="1" applyFont="1" applyFill="1" applyBorder="1" applyAlignment="1">
      <alignment horizontal="center" vertical="center"/>
    </xf>
    <xf numFmtId="4" fontId="7" fillId="37" borderId="31" xfId="0" applyNumberFormat="1" applyFont="1" applyFill="1" applyBorder="1" applyAlignment="1">
      <alignment horizontal="center" wrapText="1"/>
    </xf>
    <xf numFmtId="4" fontId="7" fillId="38" borderId="31" xfId="0" applyNumberFormat="1" applyFont="1" applyFill="1" applyBorder="1" applyAlignment="1">
      <alignment horizontal="center" wrapText="1"/>
    </xf>
    <xf numFmtId="4" fontId="7" fillId="0" borderId="31" xfId="0" applyNumberFormat="1" applyFont="1" applyFill="1" applyBorder="1" applyAlignment="1">
      <alignment horizontal="center" wrapText="1"/>
    </xf>
    <xf numFmtId="4" fontId="3" fillId="33" borderId="32" xfId="52" applyNumberFormat="1" applyFont="1" applyFill="1" applyBorder="1" applyAlignment="1">
      <alignment horizontal="right" vertical="center" wrapText="1"/>
      <protection/>
    </xf>
    <xf numFmtId="4" fontId="3" fillId="33" borderId="27" xfId="52" applyNumberFormat="1" applyFont="1" applyFill="1" applyBorder="1" applyAlignment="1">
      <alignment horizontal="right" vertical="center" wrapText="1"/>
      <protection/>
    </xf>
    <xf numFmtId="4" fontId="4" fillId="0" borderId="26" xfId="52" applyNumberFormat="1" applyFont="1" applyFill="1" applyBorder="1" applyAlignment="1">
      <alignment horizontal="right" vertical="center" wrapText="1"/>
      <protection/>
    </xf>
    <xf numFmtId="4" fontId="3" fillId="38" borderId="27" xfId="52" applyNumberFormat="1" applyFont="1" applyFill="1" applyBorder="1" applyAlignment="1">
      <alignment horizontal="right" vertical="center" wrapText="1"/>
      <protection/>
    </xf>
    <xf numFmtId="4" fontId="3" fillId="33" borderId="28" xfId="52" applyNumberFormat="1" applyFont="1" applyFill="1" applyBorder="1" applyAlignment="1" applyProtection="1">
      <alignment horizontal="right" vertical="center" wrapText="1"/>
      <protection locked="0"/>
    </xf>
    <xf numFmtId="4" fontId="3" fillId="35" borderId="27" xfId="52" applyNumberFormat="1" applyFont="1" applyFill="1" applyBorder="1" applyAlignment="1">
      <alignment horizontal="right" vertical="center" wrapText="1"/>
      <protection/>
    </xf>
    <xf numFmtId="4" fontId="3" fillId="35" borderId="28" xfId="52" applyNumberFormat="1" applyFont="1" applyFill="1" applyBorder="1" applyAlignment="1">
      <alignment horizontal="right" vertical="center" wrapText="1"/>
      <protection/>
    </xf>
    <xf numFmtId="4" fontId="3" fillId="35" borderId="27" xfId="52" applyNumberFormat="1" applyFont="1" applyFill="1" applyBorder="1" applyAlignment="1">
      <alignment vertical="center" wrapText="1"/>
      <protection/>
    </xf>
    <xf numFmtId="4" fontId="4" fillId="0" borderId="27" xfId="52" applyNumberFormat="1" applyFont="1" applyFill="1" applyBorder="1" applyAlignment="1">
      <alignment vertical="center" wrapText="1"/>
      <protection/>
    </xf>
    <xf numFmtId="4" fontId="4" fillId="0" borderId="28" xfId="52" applyNumberFormat="1" applyFont="1" applyBorder="1">
      <alignment/>
      <protection/>
    </xf>
    <xf numFmtId="0" fontId="3" fillId="35" borderId="22" xfId="53" applyFont="1" applyFill="1" applyBorder="1" applyAlignment="1">
      <alignment horizontal="center" vertical="center" wrapText="1"/>
      <protection/>
    </xf>
    <xf numFmtId="43" fontId="3" fillId="35" borderId="22" xfId="42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43" fontId="47" fillId="0" borderId="0" xfId="42" applyFont="1" applyAlignment="1">
      <alignment horizontal="center"/>
    </xf>
    <xf numFmtId="43" fontId="0" fillId="0" borderId="0" xfId="42" applyFont="1" applyAlignment="1">
      <alignment horizontal="center"/>
    </xf>
    <xf numFmtId="164" fontId="7" fillId="0" borderId="19" xfId="0" applyNumberFormat="1" applyFont="1" applyFill="1" applyBorder="1" applyAlignment="1">
      <alignment horizontal="center"/>
    </xf>
    <xf numFmtId="164" fontId="50" fillId="0" borderId="33" xfId="0" applyNumberFormat="1" applyFont="1" applyBorder="1" applyAlignment="1">
      <alignment horizontal="center" vertical="center"/>
    </xf>
    <xf numFmtId="4" fontId="7" fillId="38" borderId="29" xfId="0" applyNumberFormat="1" applyFont="1" applyFill="1" applyBorder="1" applyAlignment="1">
      <alignment horizontal="right"/>
    </xf>
    <xf numFmtId="0" fontId="8" fillId="35" borderId="34" xfId="0" applyFont="1" applyFill="1" applyBorder="1" applyAlignment="1">
      <alignment horizontal="center"/>
    </xf>
    <xf numFmtId="0" fontId="6" fillId="0" borderId="35" xfId="0" applyFont="1" applyFill="1" applyBorder="1" applyAlignment="1">
      <alignment horizontal="left" vertical="center"/>
    </xf>
    <xf numFmtId="4" fontId="7" fillId="0" borderId="36" xfId="0" applyNumberFormat="1" applyFont="1" applyFill="1" applyBorder="1" applyAlignment="1">
      <alignment horizontal="center" vertical="center"/>
    </xf>
    <xf numFmtId="0" fontId="6" fillId="37" borderId="35" xfId="0" applyFont="1" applyFill="1" applyBorder="1" applyAlignment="1">
      <alignment horizontal="left" vertical="center"/>
    </xf>
    <xf numFmtId="4" fontId="7" fillId="37" borderId="36" xfId="0" applyNumberFormat="1" applyFont="1" applyFill="1" applyBorder="1" applyAlignment="1">
      <alignment horizontal="center" vertical="center"/>
    </xf>
    <xf numFmtId="4" fontId="7" fillId="37" borderId="36" xfId="0" applyNumberFormat="1" applyFont="1" applyFill="1" applyBorder="1" applyAlignment="1">
      <alignment horizontal="center" wrapText="1"/>
    </xf>
    <xf numFmtId="0" fontId="6" fillId="37" borderId="37" xfId="0" applyFont="1" applyFill="1" applyBorder="1" applyAlignment="1">
      <alignment horizontal="left" vertical="center"/>
    </xf>
    <xf numFmtId="4" fontId="7" fillId="37" borderId="38" xfId="0" applyNumberFormat="1" applyFont="1" applyFill="1" applyBorder="1" applyAlignment="1">
      <alignment horizontal="right"/>
    </xf>
    <xf numFmtId="4" fontId="7" fillId="37" borderId="39" xfId="0" applyNumberFormat="1" applyFont="1" applyFill="1" applyBorder="1" applyAlignment="1">
      <alignment horizontal="center" wrapText="1"/>
    </xf>
    <xf numFmtId="4" fontId="7" fillId="37" borderId="40" xfId="0" applyNumberFormat="1" applyFont="1" applyFill="1" applyBorder="1" applyAlignment="1">
      <alignment horizontal="center" wrapText="1"/>
    </xf>
    <xf numFmtId="0" fontId="6" fillId="37" borderId="35" xfId="0" applyFont="1" applyFill="1" applyBorder="1" applyAlignment="1">
      <alignment horizontal="justify" vertical="center"/>
    </xf>
    <xf numFmtId="0" fontId="6" fillId="0" borderId="35" xfId="0" applyFont="1" applyFill="1" applyBorder="1" applyAlignment="1">
      <alignment horizontal="justify" vertical="center"/>
    </xf>
    <xf numFmtId="0" fontId="6" fillId="37" borderId="35" xfId="0" applyFont="1" applyFill="1" applyBorder="1" applyAlignment="1">
      <alignment horizontal="justify"/>
    </xf>
    <xf numFmtId="0" fontId="6" fillId="37" borderId="37" xfId="0" applyFont="1" applyFill="1" applyBorder="1" applyAlignment="1">
      <alignment horizontal="justify" vertical="center"/>
    </xf>
    <xf numFmtId="10" fontId="7" fillId="37" borderId="41" xfId="0" applyNumberFormat="1" applyFont="1" applyFill="1" applyBorder="1" applyAlignment="1">
      <alignment horizontal="center" vertical="center"/>
    </xf>
    <xf numFmtId="10" fontId="7" fillId="0" borderId="41" xfId="0" applyNumberFormat="1" applyFont="1" applyFill="1" applyBorder="1" applyAlignment="1">
      <alignment horizontal="center" vertical="center"/>
    </xf>
    <xf numFmtId="10" fontId="7" fillId="37" borderId="42" xfId="0" applyNumberFormat="1" applyFont="1" applyFill="1" applyBorder="1" applyAlignment="1">
      <alignment horizontal="center" vertical="center"/>
    </xf>
    <xf numFmtId="10" fontId="7" fillId="37" borderId="43" xfId="0" applyNumberFormat="1" applyFont="1" applyFill="1" applyBorder="1" applyAlignment="1">
      <alignment horizontal="center" vertical="center"/>
    </xf>
    <xf numFmtId="10" fontId="7" fillId="0" borderId="42" xfId="0" applyNumberFormat="1" applyFont="1" applyFill="1" applyBorder="1" applyAlignment="1">
      <alignment horizontal="center" vertical="center"/>
    </xf>
    <xf numFmtId="10" fontId="7" fillId="0" borderId="43" xfId="0" applyNumberFormat="1" applyFont="1" applyFill="1" applyBorder="1" applyAlignment="1">
      <alignment horizontal="center" vertical="center"/>
    </xf>
    <xf numFmtId="4" fontId="7" fillId="38" borderId="36" xfId="0" applyNumberFormat="1" applyFont="1" applyFill="1" applyBorder="1" applyAlignment="1">
      <alignment horizontal="center" wrapText="1"/>
    </xf>
    <xf numFmtId="10" fontId="7" fillId="37" borderId="44" xfId="0" applyNumberFormat="1" applyFont="1" applyFill="1" applyBorder="1" applyAlignment="1">
      <alignment horizontal="center" vertical="center"/>
    </xf>
    <xf numFmtId="10" fontId="7" fillId="37" borderId="45" xfId="0" applyNumberFormat="1" applyFont="1" applyFill="1" applyBorder="1" applyAlignment="1">
      <alignment horizontal="center" vertical="center"/>
    </xf>
    <xf numFmtId="10" fontId="7" fillId="37" borderId="46" xfId="0" applyNumberFormat="1" applyFont="1" applyFill="1" applyBorder="1" applyAlignment="1">
      <alignment horizontal="center" vertical="center"/>
    </xf>
    <xf numFmtId="0" fontId="3" fillId="0" borderId="47" xfId="52" applyFont="1" applyFill="1" applyBorder="1" applyAlignment="1">
      <alignment horizontal="center" vertical="center" wrapText="1"/>
      <protection/>
    </xf>
    <xf numFmtId="0" fontId="3" fillId="39" borderId="48" xfId="52" applyFont="1" applyFill="1" applyBorder="1" applyAlignment="1">
      <alignment horizontal="center" vertical="center" wrapText="1"/>
      <protection/>
    </xf>
    <xf numFmtId="0" fontId="3" fillId="39" borderId="22" xfId="52" applyFont="1" applyFill="1" applyBorder="1" applyAlignment="1">
      <alignment horizontal="center" vertical="center" wrapText="1"/>
      <protection/>
    </xf>
    <xf numFmtId="4" fontId="3" fillId="33" borderId="49" xfId="52" applyNumberFormat="1" applyFont="1" applyFill="1" applyBorder="1" applyAlignment="1">
      <alignment horizontal="right" vertical="center" wrapText="1"/>
      <protection/>
    </xf>
    <xf numFmtId="4" fontId="3" fillId="33" borderId="26" xfId="52" applyNumberFormat="1" applyFont="1" applyFill="1" applyBorder="1" applyAlignment="1">
      <alignment horizontal="right" vertical="center" wrapText="1"/>
      <protection/>
    </xf>
    <xf numFmtId="4" fontId="3" fillId="0" borderId="26" xfId="52" applyNumberFormat="1" applyFont="1" applyFill="1" applyBorder="1" applyAlignment="1">
      <alignment horizontal="right" vertical="center" wrapText="1"/>
      <protection/>
    </xf>
    <xf numFmtId="4" fontId="3" fillId="33" borderId="50" xfId="52" applyNumberFormat="1" applyFont="1" applyFill="1" applyBorder="1" applyAlignment="1" applyProtection="1">
      <alignment horizontal="right" vertical="center" wrapText="1"/>
      <protection locked="0"/>
    </xf>
    <xf numFmtId="0" fontId="3" fillId="36" borderId="51" xfId="52" applyFont="1" applyFill="1" applyBorder="1" applyAlignment="1">
      <alignment horizontal="center" vertical="center" wrapText="1"/>
      <protection/>
    </xf>
    <xf numFmtId="4" fontId="3" fillId="33" borderId="52" xfId="52" applyNumberFormat="1" applyFont="1" applyFill="1" applyBorder="1" applyAlignment="1">
      <alignment horizontal="right" vertical="center" wrapText="1"/>
      <protection/>
    </xf>
    <xf numFmtId="4" fontId="4" fillId="0" borderId="53" xfId="52" applyNumberFormat="1" applyFont="1" applyFill="1" applyBorder="1" applyAlignment="1">
      <alignment horizontal="right" vertical="center" wrapText="1"/>
      <protection/>
    </xf>
    <xf numFmtId="4" fontId="3" fillId="33" borderId="53" xfId="52" applyNumberFormat="1" applyFont="1" applyFill="1" applyBorder="1" applyAlignment="1">
      <alignment horizontal="right" vertical="center" wrapText="1"/>
      <protection/>
    </xf>
    <xf numFmtId="4" fontId="3" fillId="38" borderId="53" xfId="52" applyNumberFormat="1" applyFont="1" applyFill="1" applyBorder="1" applyAlignment="1">
      <alignment horizontal="right" vertical="center" wrapText="1"/>
      <protection/>
    </xf>
    <xf numFmtId="4" fontId="3" fillId="33" borderId="54" xfId="52" applyNumberFormat="1" applyFont="1" applyFill="1" applyBorder="1" applyAlignment="1" applyProtection="1">
      <alignment horizontal="right" vertical="center" wrapText="1"/>
      <protection locked="0"/>
    </xf>
    <xf numFmtId="0" fontId="3" fillId="0" borderId="55" xfId="52" applyFont="1" applyFill="1" applyBorder="1" applyAlignment="1">
      <alignment horizontal="center" vertical="center" wrapText="1"/>
      <protection/>
    </xf>
    <xf numFmtId="4" fontId="5" fillId="33" borderId="50" xfId="52" applyNumberFormat="1" applyFont="1" applyFill="1" applyBorder="1" applyAlignment="1">
      <alignment horizontal="right" vertical="center" wrapText="1"/>
      <protection/>
    </xf>
    <xf numFmtId="4" fontId="5" fillId="33" borderId="56" xfId="52" applyNumberFormat="1" applyFont="1" applyFill="1" applyBorder="1" applyAlignment="1">
      <alignment horizontal="right" vertical="center" wrapText="1"/>
      <protection/>
    </xf>
    <xf numFmtId="4" fontId="4" fillId="0" borderId="57" xfId="52" applyNumberFormat="1" applyFont="1" applyFill="1" applyBorder="1" applyAlignment="1">
      <alignment horizontal="right" vertical="center" wrapText="1"/>
      <protection/>
    </xf>
    <xf numFmtId="4" fontId="5" fillId="33" borderId="57" xfId="52" applyNumberFormat="1" applyFont="1" applyFill="1" applyBorder="1" applyAlignment="1">
      <alignment horizontal="right" vertical="center" wrapText="1"/>
      <protection/>
    </xf>
    <xf numFmtId="4" fontId="4" fillId="0" borderId="57" xfId="52" applyNumberFormat="1" applyFont="1" applyBorder="1" applyAlignment="1">
      <alignment horizontal="right"/>
      <protection/>
    </xf>
    <xf numFmtId="4" fontId="5" fillId="33" borderId="58" xfId="52" applyNumberFormat="1" applyFont="1" applyFill="1" applyBorder="1" applyAlignment="1">
      <alignment horizontal="right" vertical="center" wrapText="1"/>
      <protection/>
    </xf>
    <xf numFmtId="0" fontId="3" fillId="34" borderId="51" xfId="52" applyFont="1" applyFill="1" applyBorder="1" applyAlignment="1">
      <alignment horizontal="center" vertical="center" wrapText="1"/>
      <protection/>
    </xf>
    <xf numFmtId="0" fontId="3" fillId="39" borderId="55" xfId="52" applyFont="1" applyFill="1" applyBorder="1" applyAlignment="1">
      <alignment horizontal="center" vertical="center" wrapText="1"/>
      <protection/>
    </xf>
    <xf numFmtId="0" fontId="3" fillId="39" borderId="32" xfId="52" applyFont="1" applyFill="1" applyBorder="1" applyAlignment="1">
      <alignment horizontal="center" vertical="center" wrapText="1"/>
      <protection/>
    </xf>
    <xf numFmtId="0" fontId="3" fillId="39" borderId="23" xfId="52" applyFont="1" applyFill="1" applyBorder="1" applyAlignment="1">
      <alignment horizontal="center" vertical="center" wrapText="1"/>
      <protection/>
    </xf>
    <xf numFmtId="0" fontId="3" fillId="39" borderId="55" xfId="0" applyFont="1" applyFill="1" applyBorder="1" applyAlignment="1">
      <alignment horizontal="center" vertical="center" wrapText="1"/>
    </xf>
    <xf numFmtId="49" fontId="3" fillId="39" borderId="32" xfId="52" applyNumberFormat="1" applyFont="1" applyFill="1" applyBorder="1" applyAlignment="1">
      <alignment horizontal="center" vertical="center" wrapText="1"/>
      <protection/>
    </xf>
    <xf numFmtId="49" fontId="3" fillId="39" borderId="23" xfId="52" applyNumberFormat="1" applyFont="1" applyFill="1" applyBorder="1" applyAlignment="1">
      <alignment horizontal="center" vertical="center" wrapText="1"/>
      <protection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61" xfId="0" applyBorder="1" applyAlignment="1">
      <alignment horizontal="center"/>
    </xf>
    <xf numFmtId="0" fontId="50" fillId="0" borderId="47" xfId="0" applyFont="1" applyBorder="1" applyAlignment="1">
      <alignment horizontal="center"/>
    </xf>
    <xf numFmtId="0" fontId="50" fillId="0" borderId="62" xfId="0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0" fillId="0" borderId="47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62" xfId="0" applyBorder="1" applyAlignment="1">
      <alignment horizontal="center"/>
    </xf>
    <xf numFmtId="0" fontId="52" fillId="0" borderId="64" xfId="0" applyFont="1" applyBorder="1" applyAlignment="1">
      <alignment horizontal="center"/>
    </xf>
    <xf numFmtId="0" fontId="52" fillId="0" borderId="65" xfId="0" applyFont="1" applyBorder="1" applyAlignment="1">
      <alignment horizontal="center"/>
    </xf>
    <xf numFmtId="0" fontId="52" fillId="0" borderId="66" xfId="0" applyFont="1" applyBorder="1" applyAlignment="1">
      <alignment horizontal="center"/>
    </xf>
    <xf numFmtId="0" fontId="6" fillId="0" borderId="67" xfId="0" applyFont="1" applyFill="1" applyBorder="1" applyAlignment="1">
      <alignment horizontal="justify"/>
    </xf>
    <xf numFmtId="0" fontId="6" fillId="0" borderId="68" xfId="0" applyFont="1" applyFill="1" applyBorder="1" applyAlignment="1">
      <alignment horizontal="justify"/>
    </xf>
    <xf numFmtId="0" fontId="6" fillId="0" borderId="69" xfId="0" applyFont="1" applyFill="1" applyBorder="1" applyAlignment="1">
      <alignment horizontal="left"/>
    </xf>
    <xf numFmtId="0" fontId="6" fillId="0" borderId="68" xfId="0" applyFont="1" applyFill="1" applyBorder="1" applyAlignment="1">
      <alignment horizontal="left"/>
    </xf>
    <xf numFmtId="0" fontId="6" fillId="0" borderId="70" xfId="0" applyFont="1" applyFill="1" applyBorder="1" applyAlignment="1">
      <alignment horizontal="center" vertical="top"/>
    </xf>
    <xf numFmtId="0" fontId="6" fillId="0" borderId="17" xfId="0" applyFont="1" applyFill="1" applyBorder="1" applyAlignment="1">
      <alignment horizontal="center" vertical="top"/>
    </xf>
    <xf numFmtId="0" fontId="6" fillId="0" borderId="67" xfId="0" applyFont="1" applyFill="1" applyBorder="1" applyAlignment="1">
      <alignment horizontal="justify" vertical="top"/>
    </xf>
    <xf numFmtId="0" fontId="6" fillId="0" borderId="68" xfId="0" applyFont="1" applyFill="1" applyBorder="1" applyAlignment="1">
      <alignment horizontal="justify" vertical="top"/>
    </xf>
    <xf numFmtId="0" fontId="3" fillId="35" borderId="71" xfId="53" applyFont="1" applyFill="1" applyBorder="1" applyAlignment="1">
      <alignment horizontal="center" vertical="center" wrapText="1"/>
      <protection/>
    </xf>
    <xf numFmtId="4" fontId="3" fillId="0" borderId="22" xfId="42" applyNumberFormat="1" applyFont="1" applyFill="1" applyBorder="1" applyAlignment="1">
      <alignment vertical="center" wrapText="1"/>
    </xf>
    <xf numFmtId="4" fontId="3" fillId="0" borderId="22" xfId="42" applyNumberFormat="1" applyFont="1" applyFill="1" applyBorder="1" applyAlignment="1">
      <alignment horizontal="right" vertical="center" wrapText="1"/>
    </xf>
    <xf numFmtId="4" fontId="3" fillId="0" borderId="71" xfId="42" applyNumberFormat="1" applyFont="1" applyFill="1" applyBorder="1" applyAlignment="1">
      <alignment horizontal="right" vertical="center" wrapText="1"/>
    </xf>
    <xf numFmtId="4" fontId="4" fillId="0" borderId="22" xfId="42" applyNumberFormat="1" applyFont="1" applyFill="1" applyBorder="1" applyAlignment="1">
      <alignment horizontal="right" vertical="center" wrapText="1"/>
    </xf>
    <xf numFmtId="4" fontId="4" fillId="0" borderId="71" xfId="42" applyNumberFormat="1" applyFont="1" applyFill="1" applyBorder="1" applyAlignment="1">
      <alignment horizontal="right" vertical="center" wrapText="1"/>
    </xf>
    <xf numFmtId="4" fontId="3" fillId="35" borderId="22" xfId="42" applyNumberFormat="1" applyFont="1" applyFill="1" applyBorder="1" applyAlignment="1">
      <alignment horizontal="right" vertical="center" wrapText="1"/>
    </xf>
    <xf numFmtId="4" fontId="3" fillId="35" borderId="71" xfId="42" applyNumberFormat="1" applyFont="1" applyFill="1" applyBorder="1" applyAlignment="1">
      <alignment horizontal="right" vertical="center" wrapText="1"/>
    </xf>
    <xf numFmtId="4" fontId="3" fillId="35" borderId="12" xfId="42" applyNumberFormat="1" applyFont="1" applyFill="1" applyBorder="1" applyAlignment="1">
      <alignment horizontal="right" vertical="center"/>
    </xf>
    <xf numFmtId="4" fontId="3" fillId="35" borderId="33" xfId="42" applyNumberFormat="1" applyFont="1" applyFill="1" applyBorder="1" applyAlignment="1">
      <alignment horizontal="right" vertical="center"/>
    </xf>
    <xf numFmtId="4" fontId="4" fillId="0" borderId="72" xfId="42" applyNumberFormat="1" applyFont="1" applyFill="1" applyBorder="1" applyAlignment="1">
      <alignment horizontal="right" vertical="center" wrapText="1"/>
    </xf>
    <xf numFmtId="4" fontId="4" fillId="0" borderId="73" xfId="42" applyNumberFormat="1" applyFont="1" applyFill="1" applyBorder="1" applyAlignment="1">
      <alignment horizontal="right" vertical="center" wrapText="1"/>
    </xf>
    <xf numFmtId="4" fontId="4" fillId="0" borderId="22" xfId="42" applyNumberFormat="1" applyFont="1" applyFill="1" applyBorder="1" applyAlignment="1">
      <alignment vertical="center" wrapText="1"/>
    </xf>
    <xf numFmtId="4" fontId="4" fillId="0" borderId="72" xfId="42" applyNumberFormat="1" applyFont="1" applyFill="1" applyBorder="1" applyAlignment="1">
      <alignment vertical="center" wrapText="1"/>
    </xf>
    <xf numFmtId="0" fontId="52" fillId="0" borderId="70" xfId="0" applyFont="1" applyFill="1" applyBorder="1" applyAlignment="1">
      <alignment/>
    </xf>
    <xf numFmtId="43" fontId="3" fillId="39" borderId="12" xfId="42" applyFont="1" applyFill="1" applyBorder="1" applyAlignment="1">
      <alignment horizontal="center" vertical="center" wrapText="1"/>
    </xf>
    <xf numFmtId="0" fontId="3" fillId="39" borderId="33" xfId="52" applyFont="1" applyFill="1" applyBorder="1" applyAlignment="1">
      <alignment horizontal="center" vertical="center" wrapText="1"/>
      <protection/>
    </xf>
    <xf numFmtId="0" fontId="8" fillId="39" borderId="74" xfId="0" applyFont="1" applyFill="1" applyBorder="1" applyAlignment="1">
      <alignment horizontal="center" vertical="center" wrapText="1"/>
    </xf>
    <xf numFmtId="0" fontId="8" fillId="39" borderId="31" xfId="0" applyFont="1" applyFill="1" applyBorder="1" applyAlignment="1">
      <alignment horizontal="center" vertical="center" wrapText="1"/>
    </xf>
    <xf numFmtId="0" fontId="8" fillId="39" borderId="75" xfId="0" applyFont="1" applyFill="1" applyBorder="1" applyAlignment="1">
      <alignment horizontal="center" vertical="center" wrapText="1"/>
    </xf>
    <xf numFmtId="0" fontId="8" fillId="39" borderId="36" xfId="0" applyFont="1" applyFill="1" applyBorder="1" applyAlignment="1">
      <alignment horizontal="center" vertical="center" wrapText="1"/>
    </xf>
    <xf numFmtId="0" fontId="6" fillId="39" borderId="76" xfId="0" applyFont="1" applyFill="1" applyBorder="1" applyAlignment="1">
      <alignment horizontal="center" vertical="center"/>
    </xf>
    <xf numFmtId="0" fontId="6" fillId="39" borderId="77" xfId="0" applyFont="1" applyFill="1" applyBorder="1" applyAlignment="1">
      <alignment horizontal="center" vertical="center"/>
    </xf>
    <xf numFmtId="0" fontId="8" fillId="35" borderId="78" xfId="0" applyFont="1" applyFill="1" applyBorder="1" applyAlignment="1">
      <alignment horizontal="center"/>
    </xf>
    <xf numFmtId="0" fontId="8" fillId="35" borderId="79" xfId="0" applyFont="1" applyFill="1" applyBorder="1" applyAlignment="1">
      <alignment horizontal="center"/>
    </xf>
    <xf numFmtId="0" fontId="8" fillId="39" borderId="78" xfId="0" applyFont="1" applyFill="1" applyBorder="1" applyAlignment="1">
      <alignment horizontal="center"/>
    </xf>
    <xf numFmtId="0" fontId="8" fillId="39" borderId="80" xfId="0" applyFont="1" applyFill="1" applyBorder="1" applyAlignment="1">
      <alignment horizontal="center"/>
    </xf>
    <xf numFmtId="0" fontId="6" fillId="35" borderId="81" xfId="0" applyFont="1" applyFill="1" applyBorder="1" applyAlignment="1">
      <alignment horizontal="center" vertical="top"/>
    </xf>
    <xf numFmtId="0" fontId="6" fillId="35" borderId="82" xfId="0" applyFont="1" applyFill="1" applyBorder="1" applyAlignment="1">
      <alignment horizontal="center" vertical="top"/>
    </xf>
    <xf numFmtId="0" fontId="6" fillId="39" borderId="81" xfId="0" applyFont="1" applyFill="1" applyBorder="1" applyAlignment="1">
      <alignment horizontal="center" vertical="top"/>
    </xf>
    <xf numFmtId="0" fontId="6" fillId="39" borderId="83" xfId="0" applyFont="1" applyFill="1" applyBorder="1" applyAlignment="1">
      <alignment horizontal="center" vertical="top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bilans_przekształceń" xfId="52"/>
    <cellStyle name="Normalny_Skonsolidowane sprawozdanie finansowe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1</xdr:row>
      <xdr:rowOff>0</xdr:rowOff>
    </xdr:from>
    <xdr:to>
      <xdr:col>14</xdr:col>
      <xdr:colOff>76200</xdr:colOff>
      <xdr:row>38</xdr:row>
      <xdr:rowOff>28575</xdr:rowOff>
    </xdr:to>
    <xdr:sp>
      <xdr:nvSpPr>
        <xdr:cNvPr id="1" name="pole tekstowe 1"/>
        <xdr:cNvSpPr txBox="1">
          <a:spLocks noChangeArrowheads="1"/>
        </xdr:cNvSpPr>
      </xdr:nvSpPr>
      <xdr:spPr>
        <a:xfrm>
          <a:off x="7096125" y="190500"/>
          <a:ext cx="4333875" cy="7115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Objaśnienia: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Wskaźnik rentowności operacyjnej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Formuła: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wynik na działalności operacyjnej / przychody ze sprzedaży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Opis: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określa, ile zysku netto (po opodatkowaniu) przypada na 1 złoty przychodów firmy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Wskaźnik rentowności EBITDA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Formuła: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(wynika na działalności operacyjnej+amortyzacja) / przychody ze sprzedaży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Opis: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mierzy efektywność konwersji przychodów na zysk z działalności ciągłej przed odsetkami od zaciągniętych kredytów, podatkami, deprecjacją i amortyzacją oraz przed pozycjami wyjątkowymi.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 Wskaźnik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rentowności netto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Formuła: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Wynik netto / Przychody ze sprzedaży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Opis: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informuje inwestorów ile procent przychodów ze sprzedaży stanowi zysk netto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4. Wskaśnik rentowności kapitału własnego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(ROE)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Formuła: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Wynik netto / Kapitał własny, gdzie: Kapitał własny = Aktywa ogółem - Zobowiązania (krótko i długoterminowe)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Opis: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określa stopę zyskowności zainwestowanych w firmie kapitałów własnych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5. Wskaźnik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rentowności majątku (ROA)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Formuła: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Wynik netto / aktywa  ogółem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Opis: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informuje o tym jaka jest rentowność wszystkich aktywów firmy w stosunku do wypracowanych przez nią zysków,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czy innymi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słowy ile zysku netto  przynosi każda złotówka zaangażowana w finansowanie majątku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6. Wskaźnik ogólnej płynności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Formuła: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aktywa obrotowe / zobowiązania krótkoterminowe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Opis: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informuje o zdolności przedsiębiorstwa do regulowania zobowiązań w oparciu o wszystkie aktywa obrotowe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7. Wskaźnik ogólnego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zadłużenia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Formuła: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zobowiązania ogółem / aktywa razem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Opis: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mówi o tym jaki udział w finansowaniu majątku firmy mają zobowiązania i dług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onika\AppData\Local\Temp\Dane%20finansowe_2Q2014_LUG%20S.A.-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ZiS LUG S.A."/>
      <sheetName val="Sk. spr.z cał.doch. LUG S.A."/>
      <sheetName val="Bilans LUG S.A."/>
      <sheetName val="Zest.zmian w kap.wł. LUG S.A."/>
      <sheetName val="Rach.przep.pienięż LUG S.A."/>
      <sheetName val="Wybrane dane finansowe LUG S.A "/>
      <sheetName val="Wskaźniki finansowe LUG S.A."/>
      <sheetName val="Kursy walut"/>
    </sheetNames>
    <sheetDataSet>
      <sheetData sheetId="2">
        <row r="4">
          <cell r="C4">
            <v>31515.539999999997</v>
          </cell>
          <cell r="D4">
            <v>30679.13</v>
          </cell>
        </row>
        <row r="12">
          <cell r="C12">
            <v>535</v>
          </cell>
          <cell r="D12">
            <v>535</v>
          </cell>
        </row>
        <row r="13">
          <cell r="C13">
            <v>838.19</v>
          </cell>
          <cell r="D13">
            <v>1077.95</v>
          </cell>
        </row>
        <row r="14">
          <cell r="C14">
            <v>0</v>
          </cell>
          <cell r="D14">
            <v>0</v>
          </cell>
        </row>
        <row r="15">
          <cell r="C15">
            <v>60.83</v>
          </cell>
          <cell r="D15">
            <v>155.91</v>
          </cell>
        </row>
        <row r="16">
          <cell r="C16">
            <v>0</v>
          </cell>
          <cell r="D16">
            <v>0</v>
          </cell>
        </row>
        <row r="17">
          <cell r="C17">
            <v>744.06</v>
          </cell>
          <cell r="D17">
            <v>620.6600000000001</v>
          </cell>
        </row>
        <row r="22">
          <cell r="C22">
            <v>17.09</v>
          </cell>
          <cell r="D22">
            <v>35.91</v>
          </cell>
        </row>
        <row r="28">
          <cell r="C28">
            <v>32038.460000000003</v>
          </cell>
          <cell r="D28">
            <v>31379.170000000002</v>
          </cell>
        </row>
        <row r="29">
          <cell r="C29">
            <v>1799.64</v>
          </cell>
          <cell r="D29">
            <v>1799.64</v>
          </cell>
        </row>
        <row r="38">
          <cell r="C38">
            <v>144.93</v>
          </cell>
          <cell r="D38">
            <v>133.86</v>
          </cell>
        </row>
        <row r="46">
          <cell r="C46">
            <v>170.34</v>
          </cell>
          <cell r="D46">
            <v>244.05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35"/>
  <sheetViews>
    <sheetView zoomScalePageLayoutView="0" workbookViewId="0" topLeftCell="A1">
      <selection activeCell="B2" sqref="B2:F35"/>
    </sheetView>
  </sheetViews>
  <sheetFormatPr defaultColWidth="9.140625" defaultRowHeight="15"/>
  <cols>
    <col min="1" max="1" width="2.00390625" style="0" customWidth="1"/>
    <col min="2" max="2" width="50.7109375" style="0" customWidth="1"/>
    <col min="3" max="3" width="12.140625" style="56" customWidth="1"/>
    <col min="4" max="4" width="11.8515625" style="0" customWidth="1"/>
    <col min="5" max="5" width="12.00390625" style="56" customWidth="1"/>
    <col min="6" max="6" width="12.00390625" style="0" customWidth="1"/>
    <col min="8" max="8" width="3.8515625" style="0" customWidth="1"/>
  </cols>
  <sheetData>
    <row r="1" ht="15.75" thickBot="1"/>
    <row r="2" spans="3:6" ht="16.5" thickBot="1" thickTop="1">
      <c r="C2" s="150" t="s">
        <v>28</v>
      </c>
      <c r="D2" s="151"/>
      <c r="E2" s="151"/>
      <c r="F2" s="152"/>
    </row>
    <row r="3" spans="2:6" ht="34.5" thickTop="1">
      <c r="B3" s="123"/>
      <c r="C3" s="9" t="s">
        <v>170</v>
      </c>
      <c r="D3" s="130" t="s">
        <v>168</v>
      </c>
      <c r="E3" s="125" t="s">
        <v>171</v>
      </c>
      <c r="F3" s="124" t="s">
        <v>169</v>
      </c>
    </row>
    <row r="4" spans="2:6" ht="15">
      <c r="B4" s="1" t="s">
        <v>0</v>
      </c>
      <c r="C4" s="81">
        <f>C5+C6</f>
        <v>225</v>
      </c>
      <c r="D4" s="131">
        <f>D6+D5</f>
        <v>105.1</v>
      </c>
      <c r="E4" s="126">
        <f>E5+E6</f>
        <v>330</v>
      </c>
      <c r="F4" s="45">
        <f>F6+F5</f>
        <v>215.21</v>
      </c>
    </row>
    <row r="5" spans="2:6" ht="15">
      <c r="B5" s="2" t="s">
        <v>1</v>
      </c>
      <c r="C5" s="54">
        <v>225</v>
      </c>
      <c r="D5" s="132">
        <v>105.1</v>
      </c>
      <c r="E5" s="83">
        <v>330</v>
      </c>
      <c r="F5" s="46">
        <v>215.21</v>
      </c>
    </row>
    <row r="6" spans="2:6" ht="15">
      <c r="B6" s="2" t="s">
        <v>2</v>
      </c>
      <c r="C6" s="54">
        <v>0</v>
      </c>
      <c r="D6" s="132">
        <v>0</v>
      </c>
      <c r="E6" s="83">
        <v>0</v>
      </c>
      <c r="F6" s="46">
        <v>0</v>
      </c>
    </row>
    <row r="7" spans="2:6" ht="15">
      <c r="B7" s="1" t="s">
        <v>3</v>
      </c>
      <c r="C7" s="81">
        <f>C8+C9</f>
        <v>0</v>
      </c>
      <c r="D7" s="131">
        <f>D9+D8</f>
        <v>0</v>
      </c>
      <c r="E7" s="126">
        <f>E8+E9</f>
        <v>0</v>
      </c>
      <c r="F7" s="45">
        <f>F9+F8</f>
        <v>1.25</v>
      </c>
    </row>
    <row r="8" spans="2:6" ht="15">
      <c r="B8" s="2" t="s">
        <v>4</v>
      </c>
      <c r="C8" s="54">
        <v>0</v>
      </c>
      <c r="D8" s="132">
        <v>0</v>
      </c>
      <c r="E8" s="83">
        <v>0</v>
      </c>
      <c r="F8" s="46">
        <v>1.25</v>
      </c>
    </row>
    <row r="9" spans="2:6" ht="15">
      <c r="B9" s="2" t="s">
        <v>5</v>
      </c>
      <c r="C9" s="54">
        <v>0</v>
      </c>
      <c r="D9" s="132">
        <v>0</v>
      </c>
      <c r="E9" s="83">
        <v>0</v>
      </c>
      <c r="F9" s="46">
        <v>0</v>
      </c>
    </row>
    <row r="10" spans="2:6" ht="15">
      <c r="B10" s="7" t="s">
        <v>6</v>
      </c>
      <c r="C10" s="82">
        <f>C4-C7</f>
        <v>225</v>
      </c>
      <c r="D10" s="133">
        <f>D4-D7</f>
        <v>105.1</v>
      </c>
      <c r="E10" s="127">
        <f>E4-E7</f>
        <v>330</v>
      </c>
      <c r="F10" s="47">
        <f>F4-F7</f>
        <v>213.96</v>
      </c>
    </row>
    <row r="11" spans="2:6" ht="22.5">
      <c r="B11" s="2" t="s">
        <v>7</v>
      </c>
      <c r="C11" s="54">
        <v>0</v>
      </c>
      <c r="D11" s="132">
        <v>0</v>
      </c>
      <c r="E11" s="83">
        <f aca="true" t="shared" si="0" ref="E11:E16">C11</f>
        <v>0</v>
      </c>
      <c r="F11" s="46">
        <v>0</v>
      </c>
    </row>
    <row r="12" spans="2:6" ht="15">
      <c r="B12" s="3" t="s">
        <v>8</v>
      </c>
      <c r="C12" s="54">
        <v>0.08</v>
      </c>
      <c r="D12" s="132">
        <v>0.47</v>
      </c>
      <c r="E12" s="83">
        <v>0.15</v>
      </c>
      <c r="F12" s="46">
        <f>0.47</f>
        <v>0.47</v>
      </c>
    </row>
    <row r="13" spans="2:6" ht="15">
      <c r="B13" s="3" t="s">
        <v>9</v>
      </c>
      <c r="C13" s="54">
        <v>0</v>
      </c>
      <c r="D13" s="132">
        <v>0</v>
      </c>
      <c r="E13" s="83">
        <f t="shared" si="0"/>
        <v>0</v>
      </c>
      <c r="F13" s="46">
        <v>0</v>
      </c>
    </row>
    <row r="14" spans="2:6" ht="15">
      <c r="B14" s="3" t="s">
        <v>10</v>
      </c>
      <c r="C14" s="54">
        <v>247.85</v>
      </c>
      <c r="D14" s="132">
        <v>221.67</v>
      </c>
      <c r="E14" s="83">
        <v>459.55</v>
      </c>
      <c r="F14" s="46">
        <v>466.17</v>
      </c>
    </row>
    <row r="15" spans="2:6" ht="15">
      <c r="B15" s="3" t="s">
        <v>11</v>
      </c>
      <c r="C15" s="54">
        <v>0</v>
      </c>
      <c r="D15" s="132">
        <v>0</v>
      </c>
      <c r="E15" s="83">
        <f t="shared" si="0"/>
        <v>0</v>
      </c>
      <c r="F15" s="46">
        <v>0</v>
      </c>
    </row>
    <row r="16" spans="2:6" ht="15">
      <c r="B16" s="3" t="s">
        <v>12</v>
      </c>
      <c r="C16" s="54">
        <v>0</v>
      </c>
      <c r="D16" s="132">
        <v>0</v>
      </c>
      <c r="E16" s="83">
        <f t="shared" si="0"/>
        <v>0</v>
      </c>
      <c r="F16" s="46">
        <v>0.05</v>
      </c>
    </row>
    <row r="17" spans="2:6" ht="15">
      <c r="B17" s="7" t="s">
        <v>13</v>
      </c>
      <c r="C17" s="82">
        <f>C10+C11+C12-C13-C14-C15-C16</f>
        <v>-22.769999999999982</v>
      </c>
      <c r="D17" s="133">
        <f>D10+D11+D12-D13-D14-D15-D16</f>
        <v>-116.1</v>
      </c>
      <c r="E17" s="127">
        <f>E10+E11+E12-E13-E14-E15-E16</f>
        <v>-129.40000000000003</v>
      </c>
      <c r="F17" s="47">
        <f>F10+F11+F12-F13-F14-F15-F16</f>
        <v>-251.79000000000002</v>
      </c>
    </row>
    <row r="18" spans="2:6" ht="15">
      <c r="B18" s="3" t="s">
        <v>14</v>
      </c>
      <c r="C18" s="54">
        <v>700</v>
      </c>
      <c r="D18" s="132">
        <f>-2.47+700+2.26</f>
        <v>699.79</v>
      </c>
      <c r="E18" s="83">
        <f>C18</f>
        <v>700</v>
      </c>
      <c r="F18" s="46">
        <f>700+2.69</f>
        <v>702.69</v>
      </c>
    </row>
    <row r="19" spans="2:6" ht="15">
      <c r="B19" s="3" t="s">
        <v>15</v>
      </c>
      <c r="C19" s="54">
        <v>0</v>
      </c>
      <c r="D19" s="132">
        <v>0</v>
      </c>
      <c r="E19" s="83">
        <v>0.12</v>
      </c>
      <c r="F19" s="46">
        <v>0</v>
      </c>
    </row>
    <row r="20" spans="2:6" ht="22.5">
      <c r="B20" s="3" t="s">
        <v>16</v>
      </c>
      <c r="C20" s="54">
        <v>0</v>
      </c>
      <c r="D20" s="132">
        <v>0</v>
      </c>
      <c r="E20" s="83">
        <f>C20</f>
        <v>0</v>
      </c>
      <c r="F20" s="46">
        <v>0</v>
      </c>
    </row>
    <row r="21" spans="2:6" ht="15">
      <c r="B21" s="7" t="s">
        <v>17</v>
      </c>
      <c r="C21" s="82">
        <f>C17+C18-C19-C20</f>
        <v>677.23</v>
      </c>
      <c r="D21" s="133">
        <f>D17+D18-D19-D20</f>
        <v>583.6899999999999</v>
      </c>
      <c r="E21" s="127">
        <f>E17+E18-E19-E20</f>
        <v>570.4799999999999</v>
      </c>
      <c r="F21" s="47">
        <f>F17+F18-F19-F20</f>
        <v>450.90000000000003</v>
      </c>
    </row>
    <row r="22" spans="2:6" ht="15">
      <c r="B22" s="3" t="s">
        <v>18</v>
      </c>
      <c r="C22" s="54">
        <v>0</v>
      </c>
      <c r="D22" s="132">
        <v>0</v>
      </c>
      <c r="E22" s="83">
        <v>0</v>
      </c>
      <c r="F22" s="46">
        <v>0</v>
      </c>
    </row>
    <row r="23" spans="2:6" ht="15">
      <c r="B23" s="43" t="s">
        <v>19</v>
      </c>
      <c r="C23" s="83">
        <v>0</v>
      </c>
      <c r="D23" s="132">
        <v>0</v>
      </c>
      <c r="E23" s="83">
        <v>0</v>
      </c>
      <c r="F23" s="46">
        <v>0</v>
      </c>
    </row>
    <row r="24" spans="2:6" ht="15">
      <c r="B24" s="7" t="s">
        <v>20</v>
      </c>
      <c r="C24" s="82">
        <v>677.23</v>
      </c>
      <c r="D24" s="133">
        <v>583.69</v>
      </c>
      <c r="E24" s="127">
        <v>570.48</v>
      </c>
      <c r="F24" s="57">
        <v>450.9</v>
      </c>
    </row>
    <row r="25" spans="2:6" ht="15">
      <c r="B25" s="1" t="s">
        <v>21</v>
      </c>
      <c r="C25" s="82">
        <v>0</v>
      </c>
      <c r="D25" s="133">
        <v>0</v>
      </c>
      <c r="E25" s="127">
        <v>0</v>
      </c>
      <c r="F25" s="47">
        <v>0</v>
      </c>
    </row>
    <row r="26" spans="2:6" ht="15">
      <c r="B26" s="7" t="s">
        <v>22</v>
      </c>
      <c r="C26" s="82">
        <f>C21</f>
        <v>677.23</v>
      </c>
      <c r="D26" s="133">
        <f>D24</f>
        <v>583.69</v>
      </c>
      <c r="E26" s="127">
        <f>E21</f>
        <v>570.4799999999999</v>
      </c>
      <c r="F26" s="57">
        <f>F24</f>
        <v>450.9</v>
      </c>
    </row>
    <row r="27" spans="2:6" ht="23.25" customHeight="1">
      <c r="B27" s="43" t="s">
        <v>23</v>
      </c>
      <c r="C27" s="83">
        <f>C26</f>
        <v>677.23</v>
      </c>
      <c r="D27" s="132">
        <f>D26</f>
        <v>583.69</v>
      </c>
      <c r="E27" s="83">
        <f>E26</f>
        <v>570.4799999999999</v>
      </c>
      <c r="F27" s="46">
        <f>F26</f>
        <v>450.9</v>
      </c>
    </row>
    <row r="28" spans="2:6" ht="15">
      <c r="B28" s="43" t="s">
        <v>19</v>
      </c>
      <c r="C28" s="83">
        <v>0</v>
      </c>
      <c r="D28" s="132">
        <v>0</v>
      </c>
      <c r="E28" s="83">
        <v>0</v>
      </c>
      <c r="F28" s="46">
        <v>0</v>
      </c>
    </row>
    <row r="29" spans="2:6" ht="15">
      <c r="B29" s="5" t="s">
        <v>24</v>
      </c>
      <c r="C29" s="82">
        <f aca="true" t="shared" si="1" ref="C29:C34">$C$27*1000/7198570</f>
        <v>0.09407840723921557</v>
      </c>
      <c r="D29" s="133">
        <f aca="true" t="shared" si="2" ref="D29:D34">$D$27*1000/7198570</f>
        <v>0.08108415977062111</v>
      </c>
      <c r="E29" s="127">
        <f aca="true" t="shared" si="3" ref="E29:E34">$E$27*1000/7198570</f>
        <v>0.07924907307979222</v>
      </c>
      <c r="F29" s="47">
        <f aca="true" t="shared" si="4" ref="F29:F34">$F$27*1000/7198570</f>
        <v>0.0626374404916532</v>
      </c>
    </row>
    <row r="30" spans="2:6" ht="15">
      <c r="B30" s="6" t="s">
        <v>25</v>
      </c>
      <c r="C30" s="84">
        <f t="shared" si="1"/>
        <v>0.09407840723921557</v>
      </c>
      <c r="D30" s="134">
        <f t="shared" si="2"/>
        <v>0.08108415977062111</v>
      </c>
      <c r="E30" s="128">
        <f t="shared" si="3"/>
        <v>0.07924907307979222</v>
      </c>
      <c r="F30" s="49">
        <f t="shared" si="4"/>
        <v>0.0626374404916532</v>
      </c>
    </row>
    <row r="31" spans="2:6" ht="15">
      <c r="B31" s="6" t="s">
        <v>26</v>
      </c>
      <c r="C31" s="84">
        <f t="shared" si="1"/>
        <v>0.09407840723921557</v>
      </c>
      <c r="D31" s="134">
        <f t="shared" si="2"/>
        <v>0.08108415977062111</v>
      </c>
      <c r="E31" s="128">
        <f t="shared" si="3"/>
        <v>0.07924907307979222</v>
      </c>
      <c r="F31" s="49">
        <f t="shared" si="4"/>
        <v>0.0626374404916532</v>
      </c>
    </row>
    <row r="32" spans="2:8" ht="22.5">
      <c r="B32" s="7" t="s">
        <v>27</v>
      </c>
      <c r="C32" s="82">
        <f t="shared" si="1"/>
        <v>0.09407840723921557</v>
      </c>
      <c r="D32" s="133">
        <f t="shared" si="2"/>
        <v>0.08108415977062111</v>
      </c>
      <c r="E32" s="127">
        <f t="shared" si="3"/>
        <v>0.07924907307979222</v>
      </c>
      <c r="F32" s="47">
        <f t="shared" si="4"/>
        <v>0.0626374404916532</v>
      </c>
      <c r="G32" s="42"/>
      <c r="H32" s="42"/>
    </row>
    <row r="33" spans="2:8" ht="15">
      <c r="B33" s="2" t="s">
        <v>25</v>
      </c>
      <c r="C33" s="84">
        <f t="shared" si="1"/>
        <v>0.09407840723921557</v>
      </c>
      <c r="D33" s="134">
        <f t="shared" si="2"/>
        <v>0.08108415977062111</v>
      </c>
      <c r="E33" s="128">
        <f t="shared" si="3"/>
        <v>0.07924907307979222</v>
      </c>
      <c r="F33" s="49">
        <f t="shared" si="4"/>
        <v>0.0626374404916532</v>
      </c>
      <c r="G33" s="42"/>
      <c r="H33" s="42"/>
    </row>
    <row r="34" spans="2:8" ht="15">
      <c r="B34" s="2" t="s">
        <v>26</v>
      </c>
      <c r="C34" s="84">
        <f t="shared" si="1"/>
        <v>0.09407840723921557</v>
      </c>
      <c r="D34" s="134">
        <f t="shared" si="2"/>
        <v>0.08108415977062111</v>
      </c>
      <c r="E34" s="128">
        <f t="shared" si="3"/>
        <v>0.07924907307979222</v>
      </c>
      <c r="F34" s="49">
        <f t="shared" si="4"/>
        <v>0.0626374404916532</v>
      </c>
      <c r="G34" s="42"/>
      <c r="H34" s="42"/>
    </row>
    <row r="35" spans="2:8" ht="23.25" thickBot="1">
      <c r="B35" s="8" t="s">
        <v>159</v>
      </c>
      <c r="C35" s="85">
        <v>0</v>
      </c>
      <c r="D35" s="135">
        <v>0</v>
      </c>
      <c r="E35" s="129">
        <v>0</v>
      </c>
      <c r="F35" s="48">
        <v>0</v>
      </c>
      <c r="G35" s="42"/>
      <c r="H35" s="42"/>
    </row>
    <row r="36" ht="15.75" thickTop="1"/>
  </sheetData>
  <sheetProtection/>
  <mergeCells count="1">
    <mergeCell ref="C2:F2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1"/>
  <ignoredErrors>
    <ignoredError sqref="E17 D4 D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2:F13"/>
  <sheetViews>
    <sheetView zoomScalePageLayoutView="0" workbookViewId="0" topLeftCell="A1">
      <selection activeCell="B2" sqref="B2:F13"/>
    </sheetView>
  </sheetViews>
  <sheetFormatPr defaultColWidth="9.140625" defaultRowHeight="15"/>
  <cols>
    <col min="2" max="2" width="61.7109375" style="0" customWidth="1"/>
    <col min="3" max="6" width="12.57421875" style="0" customWidth="1"/>
  </cols>
  <sheetData>
    <row r="1" ht="15.75" thickBot="1"/>
    <row r="2" spans="3:6" ht="16.5" thickBot="1" thickTop="1">
      <c r="C2" s="150" t="s">
        <v>28</v>
      </c>
      <c r="D2" s="151"/>
      <c r="E2" s="151"/>
      <c r="F2" s="152"/>
    </row>
    <row r="3" spans="2:6" ht="36.75" customHeight="1" thickTop="1">
      <c r="B3" s="136"/>
      <c r="C3" s="9" t="s">
        <v>170</v>
      </c>
      <c r="D3" s="143" t="s">
        <v>168</v>
      </c>
      <c r="E3" s="125" t="s">
        <v>171</v>
      </c>
      <c r="F3" s="124" t="s">
        <v>169</v>
      </c>
    </row>
    <row r="4" spans="2:6" ht="15">
      <c r="B4" s="4" t="s">
        <v>22</v>
      </c>
      <c r="C4" s="50">
        <f>'RZiS LUG S.A.'!C26</f>
        <v>677.23</v>
      </c>
      <c r="D4" s="138">
        <f>'RZiS LUG S.A.'!D26</f>
        <v>583.69</v>
      </c>
      <c r="E4" s="50">
        <f>'RZiS LUG S.A.'!E26</f>
        <v>570.4799999999999</v>
      </c>
      <c r="F4" s="53">
        <f>'RZiS LUG S.A.'!F26</f>
        <v>450.9</v>
      </c>
    </row>
    <row r="5" spans="2:6" ht="15">
      <c r="B5" s="3" t="s">
        <v>76</v>
      </c>
      <c r="C5" s="54">
        <v>0</v>
      </c>
      <c r="D5" s="139">
        <v>0</v>
      </c>
      <c r="E5" s="83">
        <v>0</v>
      </c>
      <c r="F5" s="54">
        <f>D5</f>
        <v>0</v>
      </c>
    </row>
    <row r="6" spans="2:6" ht="22.5">
      <c r="B6" s="3" t="s">
        <v>77</v>
      </c>
      <c r="C6" s="54">
        <v>0</v>
      </c>
      <c r="D6" s="139">
        <v>0</v>
      </c>
      <c r="E6" s="83">
        <v>0</v>
      </c>
      <c r="F6" s="54">
        <v>0</v>
      </c>
    </row>
    <row r="7" spans="2:6" ht="22.5">
      <c r="B7" s="3" t="s">
        <v>78</v>
      </c>
      <c r="C7" s="54">
        <v>0</v>
      </c>
      <c r="D7" s="139">
        <v>0</v>
      </c>
      <c r="E7" s="83">
        <v>0</v>
      </c>
      <c r="F7" s="54">
        <v>0</v>
      </c>
    </row>
    <row r="8" spans="2:6" ht="15">
      <c r="B8" s="3" t="s">
        <v>79</v>
      </c>
      <c r="C8" s="54">
        <v>0</v>
      </c>
      <c r="D8" s="139">
        <v>0</v>
      </c>
      <c r="E8" s="83">
        <v>0</v>
      </c>
      <c r="F8" s="54">
        <v>0</v>
      </c>
    </row>
    <row r="9" spans="2:6" ht="15">
      <c r="B9" s="3" t="s">
        <v>80</v>
      </c>
      <c r="C9" s="54">
        <v>0</v>
      </c>
      <c r="D9" s="139">
        <v>0</v>
      </c>
      <c r="E9" s="83">
        <v>0</v>
      </c>
      <c r="F9" s="54">
        <v>0</v>
      </c>
    </row>
    <row r="10" spans="2:6" ht="15">
      <c r="B10" s="3" t="s">
        <v>81</v>
      </c>
      <c r="C10" s="54">
        <v>0</v>
      </c>
      <c r="D10" s="139">
        <v>0</v>
      </c>
      <c r="E10" s="83">
        <v>0</v>
      </c>
      <c r="F10" s="54">
        <v>0</v>
      </c>
    </row>
    <row r="11" spans="2:6" ht="15">
      <c r="B11" s="4" t="s">
        <v>82</v>
      </c>
      <c r="C11" s="50">
        <f>C4</f>
        <v>677.23</v>
      </c>
      <c r="D11" s="140">
        <f>D4</f>
        <v>583.69</v>
      </c>
      <c r="E11" s="50">
        <f>E4</f>
        <v>570.4799999999999</v>
      </c>
      <c r="F11" s="55">
        <f>F4</f>
        <v>450.9</v>
      </c>
    </row>
    <row r="12" spans="2:6" ht="15">
      <c r="B12" s="15" t="s">
        <v>83</v>
      </c>
      <c r="C12" s="51">
        <v>0</v>
      </c>
      <c r="D12" s="141">
        <v>0</v>
      </c>
      <c r="E12" s="83">
        <v>0</v>
      </c>
      <c r="F12" s="46">
        <v>0</v>
      </c>
    </row>
    <row r="13" spans="2:6" ht="15.75" thickBot="1">
      <c r="B13" s="16" t="s">
        <v>84</v>
      </c>
      <c r="C13" s="75">
        <f>C11</f>
        <v>677.23</v>
      </c>
      <c r="D13" s="142">
        <f>D11</f>
        <v>583.69</v>
      </c>
      <c r="E13" s="137">
        <f>E11</f>
        <v>570.4799999999999</v>
      </c>
      <c r="F13" s="52">
        <f>F11</f>
        <v>450.9</v>
      </c>
    </row>
    <row r="14" ht="15.75" thickTop="1"/>
  </sheetData>
  <sheetProtection/>
  <mergeCells count="1">
    <mergeCell ref="C2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E59"/>
  <sheetViews>
    <sheetView zoomScalePageLayoutView="0" workbookViewId="0" topLeftCell="A16">
      <selection activeCell="F32" sqref="F32"/>
    </sheetView>
  </sheetViews>
  <sheetFormatPr defaultColWidth="9.140625" defaultRowHeight="15"/>
  <cols>
    <col min="1" max="1" width="4.421875" style="0" customWidth="1"/>
    <col min="2" max="2" width="55.421875" style="0" customWidth="1"/>
    <col min="3" max="4" width="13.140625" style="56" customWidth="1"/>
    <col min="5" max="5" width="19.00390625" style="0" customWidth="1"/>
  </cols>
  <sheetData>
    <row r="1" ht="15.75" thickBot="1"/>
    <row r="2" spans="3:4" ht="16.5" thickBot="1" thickTop="1">
      <c r="C2" s="153" t="s">
        <v>28</v>
      </c>
      <c r="D2" s="154"/>
    </row>
    <row r="3" spans="2:4" ht="25.5" customHeight="1" thickTop="1">
      <c r="B3" s="144" t="s">
        <v>49</v>
      </c>
      <c r="C3" s="145" t="s">
        <v>173</v>
      </c>
      <c r="D3" s="146" t="s">
        <v>172</v>
      </c>
    </row>
    <row r="4" spans="2:5" ht="15">
      <c r="B4" s="10" t="s">
        <v>29</v>
      </c>
      <c r="C4" s="86">
        <f>SUM(C5:C12)</f>
        <v>31515.539999999997</v>
      </c>
      <c r="D4" s="57">
        <f>SUM(D5:D12)</f>
        <v>30679.13</v>
      </c>
      <c r="E4" s="32"/>
    </row>
    <row r="5" spans="2:4" ht="15">
      <c r="B5" s="3" t="s">
        <v>30</v>
      </c>
      <c r="C5" s="54">
        <f>1093.48-C7</f>
        <v>41.789999999999964</v>
      </c>
      <c r="D5" s="46">
        <f>1127.79-D7</f>
        <v>52.289999999999964</v>
      </c>
    </row>
    <row r="6" spans="2:4" ht="15">
      <c r="B6" s="3" t="s">
        <v>31</v>
      </c>
      <c r="C6" s="54">
        <v>4.78</v>
      </c>
      <c r="D6" s="46">
        <v>6.02</v>
      </c>
    </row>
    <row r="7" spans="2:4" ht="15">
      <c r="B7" s="3" t="s">
        <v>32</v>
      </c>
      <c r="C7" s="54">
        <v>1051.69</v>
      </c>
      <c r="D7" s="46">
        <v>1075.5</v>
      </c>
    </row>
    <row r="8" spans="2:4" ht="15">
      <c r="B8" s="3" t="s">
        <v>33</v>
      </c>
      <c r="C8" s="54">
        <f>29849.43-982.06</f>
        <v>28867.37</v>
      </c>
      <c r="D8" s="46">
        <v>28842.16</v>
      </c>
    </row>
    <row r="9" spans="2:4" ht="15">
      <c r="B9" s="3" t="s">
        <v>34</v>
      </c>
      <c r="C9" s="54">
        <v>0</v>
      </c>
      <c r="D9" s="46">
        <v>0</v>
      </c>
    </row>
    <row r="10" spans="2:4" ht="15">
      <c r="B10" s="3" t="s">
        <v>35</v>
      </c>
      <c r="C10" s="54">
        <v>982.06</v>
      </c>
      <c r="D10" s="46">
        <v>151.68</v>
      </c>
    </row>
    <row r="11" spans="2:4" ht="15">
      <c r="B11" s="3" t="s">
        <v>36</v>
      </c>
      <c r="C11" s="54">
        <v>32.85</v>
      </c>
      <c r="D11" s="46">
        <v>16.48</v>
      </c>
    </row>
    <row r="12" spans="2:5" ht="15">
      <c r="B12" s="3" t="s">
        <v>37</v>
      </c>
      <c r="C12" s="54">
        <v>535</v>
      </c>
      <c r="D12" s="46">
        <f>414.81+120.19</f>
        <v>535</v>
      </c>
      <c r="E12" s="32"/>
    </row>
    <row r="13" spans="2:5" ht="15">
      <c r="B13" s="11" t="s">
        <v>38</v>
      </c>
      <c r="C13" s="86">
        <f>SUM(C14:C22)</f>
        <v>838.19</v>
      </c>
      <c r="D13" s="57">
        <f>SUM(D14:D22)</f>
        <v>1077.95</v>
      </c>
      <c r="E13" s="32"/>
    </row>
    <row r="14" spans="2:4" ht="15">
      <c r="B14" s="3" t="s">
        <v>39</v>
      </c>
      <c r="C14" s="54">
        <v>0</v>
      </c>
      <c r="D14" s="46">
        <v>0</v>
      </c>
    </row>
    <row r="15" spans="2:4" ht="15">
      <c r="B15" s="3" t="s">
        <v>40</v>
      </c>
      <c r="C15" s="54">
        <f>58.4+2.43</f>
        <v>60.83</v>
      </c>
      <c r="D15" s="46">
        <f>10.6+145.31</f>
        <v>155.91</v>
      </c>
    </row>
    <row r="16" spans="2:4" ht="15">
      <c r="B16" s="3" t="s">
        <v>41</v>
      </c>
      <c r="C16" s="54">
        <v>0</v>
      </c>
      <c r="D16" s="46">
        <v>0</v>
      </c>
    </row>
    <row r="17" spans="2:4" ht="15">
      <c r="B17" s="3" t="s">
        <v>42</v>
      </c>
      <c r="C17" s="54">
        <f>744.06</f>
        <v>744.06</v>
      </c>
      <c r="D17" s="46">
        <f>20.08+600.58</f>
        <v>620.6600000000001</v>
      </c>
    </row>
    <row r="18" spans="2:4" ht="15">
      <c r="B18" s="3" t="s">
        <v>43</v>
      </c>
      <c r="C18" s="54">
        <v>0</v>
      </c>
      <c r="D18" s="46">
        <v>0</v>
      </c>
    </row>
    <row r="19" spans="2:4" ht="22.5">
      <c r="B19" s="3" t="s">
        <v>44</v>
      </c>
      <c r="C19" s="54">
        <v>0</v>
      </c>
      <c r="D19" s="46">
        <v>0</v>
      </c>
    </row>
    <row r="20" spans="2:4" ht="15">
      <c r="B20" s="3" t="s">
        <v>35</v>
      </c>
      <c r="C20" s="54">
        <v>0</v>
      </c>
      <c r="D20" s="46">
        <v>0</v>
      </c>
    </row>
    <row r="21" spans="2:4" ht="15">
      <c r="B21" s="3" t="s">
        <v>45</v>
      </c>
      <c r="C21" s="54">
        <v>16.21</v>
      </c>
      <c r="D21" s="46">
        <v>265.47</v>
      </c>
    </row>
    <row r="22" spans="2:4" ht="15">
      <c r="B22" s="3" t="s">
        <v>46</v>
      </c>
      <c r="C22" s="54">
        <v>17.09</v>
      </c>
      <c r="D22" s="46">
        <v>35.91</v>
      </c>
    </row>
    <row r="23" spans="2:4" ht="15">
      <c r="B23" s="11" t="s">
        <v>47</v>
      </c>
      <c r="C23" s="86">
        <v>0</v>
      </c>
      <c r="D23" s="57">
        <v>0</v>
      </c>
    </row>
    <row r="24" spans="2:5" ht="15.75" thickBot="1">
      <c r="B24" s="12" t="s">
        <v>48</v>
      </c>
      <c r="C24" s="87">
        <f>C4+C13</f>
        <v>32353.729999999996</v>
      </c>
      <c r="D24" s="58">
        <f>D13+D4</f>
        <v>31757.08</v>
      </c>
      <c r="E24" s="32"/>
    </row>
    <row r="25" ht="16.5" thickBot="1" thickTop="1"/>
    <row r="26" spans="3:4" ht="16.5" thickBot="1" thickTop="1">
      <c r="C26" s="153" t="s">
        <v>28</v>
      </c>
      <c r="D26" s="154"/>
    </row>
    <row r="27" spans="2:4" ht="23.25" thickTop="1">
      <c r="B27" s="144" t="s">
        <v>50</v>
      </c>
      <c r="C27" s="145" t="s">
        <v>173</v>
      </c>
      <c r="D27" s="146" t="s">
        <v>172</v>
      </c>
    </row>
    <row r="28" spans="2:5" ht="15">
      <c r="B28" s="11" t="s">
        <v>51</v>
      </c>
      <c r="C28" s="88">
        <f>SUM(C29:C37)</f>
        <v>32038.460000000003</v>
      </c>
      <c r="D28" s="59">
        <f>SUM(D29:D37)</f>
        <v>31379.170000000002</v>
      </c>
      <c r="E28" s="32"/>
    </row>
    <row r="29" spans="2:4" ht="15">
      <c r="B29" s="3" t="s">
        <v>52</v>
      </c>
      <c r="C29" s="89">
        <v>1799.64</v>
      </c>
      <c r="D29" s="60">
        <v>1799.64</v>
      </c>
    </row>
    <row r="30" spans="2:4" ht="15">
      <c r="B30" s="3" t="s">
        <v>53</v>
      </c>
      <c r="C30" s="89">
        <v>23815.49</v>
      </c>
      <c r="D30" s="60">
        <v>23815.49</v>
      </c>
    </row>
    <row r="31" spans="2:4" ht="15">
      <c r="B31" s="3" t="s">
        <v>54</v>
      </c>
      <c r="C31" s="89">
        <v>0</v>
      </c>
      <c r="D31" s="60">
        <v>0</v>
      </c>
    </row>
    <row r="32" spans="2:5" ht="15">
      <c r="B32" s="3" t="s">
        <v>55</v>
      </c>
      <c r="C32" s="89">
        <v>5437.72</v>
      </c>
      <c r="D32" s="60">
        <v>4898.01</v>
      </c>
      <c r="E32" s="32"/>
    </row>
    <row r="33" spans="2:4" ht="15">
      <c r="B33" s="3" t="s">
        <v>56</v>
      </c>
      <c r="C33" s="89">
        <v>0</v>
      </c>
      <c r="D33" s="60">
        <v>0</v>
      </c>
    </row>
    <row r="34" spans="2:4" ht="15">
      <c r="B34" s="3" t="s">
        <v>57</v>
      </c>
      <c r="C34" s="89">
        <v>0</v>
      </c>
      <c r="D34" s="60">
        <v>0</v>
      </c>
    </row>
    <row r="35" spans="2:4" ht="15">
      <c r="B35" s="3" t="s">
        <v>58</v>
      </c>
      <c r="C35" s="89">
        <v>415.13</v>
      </c>
      <c r="D35" s="60">
        <v>415.13</v>
      </c>
    </row>
    <row r="36" spans="2:4" ht="15">
      <c r="B36" s="3" t="s">
        <v>59</v>
      </c>
      <c r="C36" s="89">
        <v>570.48</v>
      </c>
      <c r="D36" s="60">
        <v>450.9</v>
      </c>
    </row>
    <row r="37" spans="2:4" ht="15">
      <c r="B37" s="3" t="s">
        <v>60</v>
      </c>
      <c r="C37" s="89">
        <v>0</v>
      </c>
      <c r="D37" s="60">
        <v>0</v>
      </c>
    </row>
    <row r="38" spans="2:5" ht="15">
      <c r="B38" s="11" t="s">
        <v>61</v>
      </c>
      <c r="C38" s="88">
        <f>SUM(C39:C45)</f>
        <v>144.93</v>
      </c>
      <c r="D38" s="59">
        <f>SUM(D39:D45)</f>
        <v>133.86</v>
      </c>
      <c r="E38" s="32"/>
    </row>
    <row r="39" spans="2:4" ht="15">
      <c r="B39" s="3" t="s">
        <v>62</v>
      </c>
      <c r="C39" s="89">
        <v>0</v>
      </c>
      <c r="D39" s="60">
        <v>0</v>
      </c>
    </row>
    <row r="40" spans="2:4" ht="15">
      <c r="B40" s="3" t="s">
        <v>63</v>
      </c>
      <c r="C40" s="89">
        <v>0</v>
      </c>
      <c r="D40" s="60">
        <v>0</v>
      </c>
    </row>
    <row r="41" spans="2:4" ht="15">
      <c r="B41" s="3" t="s">
        <v>64</v>
      </c>
      <c r="C41" s="89">
        <v>0</v>
      </c>
      <c r="D41" s="60">
        <v>0</v>
      </c>
    </row>
    <row r="42" spans="2:4" ht="15">
      <c r="B42" s="3" t="s">
        <v>65</v>
      </c>
      <c r="C42" s="89">
        <v>144.93</v>
      </c>
      <c r="D42" s="60">
        <v>133.86</v>
      </c>
    </row>
    <row r="43" spans="2:4" ht="15">
      <c r="B43" s="3" t="s">
        <v>66</v>
      </c>
      <c r="C43" s="89">
        <v>0</v>
      </c>
      <c r="D43" s="60">
        <v>0</v>
      </c>
    </row>
    <row r="44" spans="2:4" ht="15">
      <c r="B44" s="3" t="s">
        <v>67</v>
      </c>
      <c r="C44" s="89">
        <v>0</v>
      </c>
      <c r="D44" s="60">
        <v>0</v>
      </c>
    </row>
    <row r="45" spans="2:4" ht="15">
      <c r="B45" s="3" t="s">
        <v>68</v>
      </c>
      <c r="C45" s="89">
        <v>0</v>
      </c>
      <c r="D45" s="60">
        <v>0</v>
      </c>
    </row>
    <row r="46" spans="2:4" ht="15">
      <c r="B46" s="11" t="s">
        <v>69</v>
      </c>
      <c r="C46" s="88">
        <f>SUM(C47:C55)</f>
        <v>170.34</v>
      </c>
      <c r="D46" s="59">
        <f>SUM(D47:D55)</f>
        <v>244.05</v>
      </c>
    </row>
    <row r="47" spans="2:4" ht="15">
      <c r="B47" s="3" t="s">
        <v>62</v>
      </c>
      <c r="C47" s="89">
        <v>0</v>
      </c>
      <c r="D47" s="60">
        <v>0</v>
      </c>
    </row>
    <row r="48" spans="2:4" ht="15">
      <c r="B48" s="3" t="s">
        <v>63</v>
      </c>
      <c r="C48" s="89">
        <v>0</v>
      </c>
      <c r="D48" s="60">
        <v>0</v>
      </c>
    </row>
    <row r="49" spans="2:4" ht="15">
      <c r="B49" s="3" t="s">
        <v>70</v>
      </c>
      <c r="C49" s="89">
        <f>12.96+43.91</f>
        <v>56.87</v>
      </c>
      <c r="D49" s="60">
        <f>39.41+144.61</f>
        <v>184.02</v>
      </c>
    </row>
    <row r="50" spans="2:4" ht="15">
      <c r="B50" s="13" t="s">
        <v>71</v>
      </c>
      <c r="C50" s="89">
        <v>0</v>
      </c>
      <c r="D50" s="60">
        <v>0</v>
      </c>
    </row>
    <row r="51" spans="2:4" ht="15">
      <c r="B51" s="3" t="s">
        <v>72</v>
      </c>
      <c r="C51" s="89">
        <f>58.06+37.71</f>
        <v>95.77000000000001</v>
      </c>
      <c r="D51" s="60">
        <f>36.37+23.66</f>
        <v>60.03</v>
      </c>
    </row>
    <row r="52" spans="2:4" ht="15">
      <c r="B52" s="3" t="s">
        <v>66</v>
      </c>
      <c r="C52" s="89">
        <v>0</v>
      </c>
      <c r="D52" s="60">
        <v>0</v>
      </c>
    </row>
    <row r="53" spans="2:4" ht="15">
      <c r="B53" s="3" t="s">
        <v>67</v>
      </c>
      <c r="C53" s="89">
        <v>0</v>
      </c>
      <c r="D53" s="60">
        <v>0</v>
      </c>
    </row>
    <row r="54" spans="2:4" ht="15">
      <c r="B54" s="3" t="s">
        <v>68</v>
      </c>
      <c r="C54" s="89">
        <v>17.7</v>
      </c>
      <c r="D54" s="60">
        <v>0</v>
      </c>
    </row>
    <row r="55" spans="2:4" ht="23.25">
      <c r="B55" s="14" t="s">
        <v>73</v>
      </c>
      <c r="C55" s="89">
        <v>0</v>
      </c>
      <c r="D55" s="60">
        <v>0</v>
      </c>
    </row>
    <row r="56" spans="2:5" ht="15">
      <c r="B56" s="10" t="s">
        <v>74</v>
      </c>
      <c r="C56" s="88">
        <f>C28+C38+C46</f>
        <v>32353.730000000003</v>
      </c>
      <c r="D56" s="59">
        <f>D46+D38+D28</f>
        <v>31757.08</v>
      </c>
      <c r="E56" s="32"/>
    </row>
    <row r="57" spans="2:4" ht="15.75" thickBot="1">
      <c r="B57" s="22" t="s">
        <v>75</v>
      </c>
      <c r="C57" s="90">
        <f>C56*1000/7198570</f>
        <v>4.494466262049269</v>
      </c>
      <c r="D57" s="61">
        <f>D56*1000/7198570</f>
        <v>4.41158174470763</v>
      </c>
    </row>
    <row r="58" ht="15.75" thickTop="1"/>
    <row r="59" spans="3:4" ht="15">
      <c r="C59" s="62"/>
      <c r="D59" s="62"/>
    </row>
  </sheetData>
  <sheetProtection/>
  <mergeCells count="2">
    <mergeCell ref="C2:D2"/>
    <mergeCell ref="C26:D26"/>
  </mergeCells>
  <printOptions/>
  <pageMargins left="0.7" right="0.7" top="0.75" bottom="0.75" header="0.3" footer="0.3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M27"/>
  <sheetViews>
    <sheetView zoomScalePageLayoutView="0" workbookViewId="0" topLeftCell="A1">
      <selection activeCell="B3" sqref="B3:J3"/>
    </sheetView>
  </sheetViews>
  <sheetFormatPr defaultColWidth="9.140625" defaultRowHeight="15"/>
  <cols>
    <col min="2" max="2" width="32.421875" style="0" customWidth="1"/>
    <col min="3" max="3" width="11.00390625" style="0" customWidth="1"/>
    <col min="4" max="4" width="17.28125" style="0" customWidth="1"/>
    <col min="5" max="5" width="11.00390625" style="0" customWidth="1"/>
    <col min="6" max="7" width="12.00390625" style="0" customWidth="1"/>
    <col min="8" max="8" width="11.00390625" style="0" customWidth="1"/>
    <col min="9" max="9" width="15.28125" style="0" customWidth="1"/>
    <col min="10" max="10" width="12.00390625" style="0" customWidth="1"/>
  </cols>
  <sheetData>
    <row r="1" ht="15.75" thickBot="1"/>
    <row r="2" spans="3:10" ht="16.5" thickBot="1" thickTop="1">
      <c r="C2" s="158" t="s">
        <v>28</v>
      </c>
      <c r="D2" s="159"/>
      <c r="E2" s="159"/>
      <c r="F2" s="159"/>
      <c r="G2" s="159"/>
      <c r="H2" s="159"/>
      <c r="I2" s="159"/>
      <c r="J2" s="160"/>
    </row>
    <row r="3" spans="2:12" ht="45.75" thickTop="1">
      <c r="B3" s="147"/>
      <c r="C3" s="148" t="s">
        <v>52</v>
      </c>
      <c r="D3" s="148" t="s">
        <v>85</v>
      </c>
      <c r="E3" s="148" t="s">
        <v>55</v>
      </c>
      <c r="F3" s="148" t="s">
        <v>56</v>
      </c>
      <c r="G3" s="148" t="s">
        <v>58</v>
      </c>
      <c r="H3" s="148" t="s">
        <v>59</v>
      </c>
      <c r="I3" s="148" t="s">
        <v>86</v>
      </c>
      <c r="J3" s="149" t="s">
        <v>87</v>
      </c>
      <c r="L3" s="32"/>
    </row>
    <row r="4" spans="2:12" ht="15">
      <c r="B4" s="155" t="s">
        <v>174</v>
      </c>
      <c r="C4" s="156"/>
      <c r="D4" s="156"/>
      <c r="E4" s="156"/>
      <c r="F4" s="156"/>
      <c r="G4" s="156"/>
      <c r="H4" s="156"/>
      <c r="I4" s="156"/>
      <c r="J4" s="157"/>
      <c r="L4" s="32"/>
    </row>
    <row r="5" spans="2:12" ht="15">
      <c r="B5" s="19" t="s">
        <v>161</v>
      </c>
      <c r="C5" s="63">
        <f>C27</f>
        <v>1799.64</v>
      </c>
      <c r="D5" s="63">
        <f>D27</f>
        <v>23815.49</v>
      </c>
      <c r="E5" s="63">
        <v>4898.01</v>
      </c>
      <c r="F5" s="63">
        <v>539.71</v>
      </c>
      <c r="G5" s="63">
        <f>G27</f>
        <v>415.13</v>
      </c>
      <c r="H5" s="63">
        <v>0</v>
      </c>
      <c r="I5" s="63">
        <f>SUM(C5:H5)</f>
        <v>31467.98</v>
      </c>
      <c r="J5" s="63">
        <f>I5</f>
        <v>31467.98</v>
      </c>
      <c r="L5" s="32"/>
    </row>
    <row r="6" spans="2:12" ht="15">
      <c r="B6" s="17" t="s">
        <v>88</v>
      </c>
      <c r="C6" s="65">
        <v>0</v>
      </c>
      <c r="D6" s="65">
        <v>0</v>
      </c>
      <c r="E6" s="65">
        <v>0</v>
      </c>
      <c r="F6" s="65">
        <v>0</v>
      </c>
      <c r="G6" s="65">
        <v>0</v>
      </c>
      <c r="H6" s="65">
        <v>0</v>
      </c>
      <c r="I6" s="65">
        <v>0</v>
      </c>
      <c r="J6" s="66">
        <v>0</v>
      </c>
      <c r="L6" s="32"/>
    </row>
    <row r="7" spans="2:13" ht="15">
      <c r="B7" s="17" t="s">
        <v>89</v>
      </c>
      <c r="C7" s="65">
        <v>0</v>
      </c>
      <c r="D7" s="65">
        <v>0</v>
      </c>
      <c r="E7" s="65">
        <v>0</v>
      </c>
      <c r="F7" s="65">
        <v>0</v>
      </c>
      <c r="G7" s="65">
        <v>0</v>
      </c>
      <c r="H7" s="65">
        <v>0</v>
      </c>
      <c r="I7" s="65">
        <v>0</v>
      </c>
      <c r="J7" s="66">
        <v>0</v>
      </c>
      <c r="L7" s="32"/>
      <c r="M7" s="32"/>
    </row>
    <row r="8" spans="2:12" ht="15">
      <c r="B8" s="19" t="s">
        <v>90</v>
      </c>
      <c r="C8" s="63">
        <f>C5+C6+C7</f>
        <v>1799.64</v>
      </c>
      <c r="D8" s="63">
        <f aca="true" t="shared" si="0" ref="D8:J8">D5+D6+D7</f>
        <v>23815.49</v>
      </c>
      <c r="E8" s="63">
        <f t="shared" si="0"/>
        <v>4898.01</v>
      </c>
      <c r="F8" s="63">
        <f t="shared" si="0"/>
        <v>539.71</v>
      </c>
      <c r="G8" s="63">
        <f t="shared" si="0"/>
        <v>415.13</v>
      </c>
      <c r="H8" s="63">
        <f t="shared" si="0"/>
        <v>0</v>
      </c>
      <c r="I8" s="63">
        <f>I5+I6+I7</f>
        <v>31467.98</v>
      </c>
      <c r="J8" s="63">
        <f t="shared" si="0"/>
        <v>31467.98</v>
      </c>
      <c r="L8" s="32"/>
    </row>
    <row r="9" spans="2:12" ht="15">
      <c r="B9" s="17" t="s">
        <v>91</v>
      </c>
      <c r="C9" s="65">
        <v>0</v>
      </c>
      <c r="D9" s="65">
        <v>0</v>
      </c>
      <c r="E9" s="65">
        <v>0</v>
      </c>
      <c r="F9" s="65">
        <v>0</v>
      </c>
      <c r="G9" s="65">
        <v>0</v>
      </c>
      <c r="H9" s="65">
        <v>0</v>
      </c>
      <c r="I9" s="65">
        <v>0</v>
      </c>
      <c r="J9" s="66">
        <v>0</v>
      </c>
      <c r="L9" s="32"/>
    </row>
    <row r="10" spans="2:12" ht="15">
      <c r="B10" s="17" t="s">
        <v>92</v>
      </c>
      <c r="C10" s="65">
        <v>0</v>
      </c>
      <c r="D10" s="65">
        <v>0</v>
      </c>
      <c r="E10" s="65">
        <v>0</v>
      </c>
      <c r="F10" s="65">
        <v>0</v>
      </c>
      <c r="G10" s="65">
        <v>0</v>
      </c>
      <c r="H10" s="65">
        <v>0</v>
      </c>
      <c r="I10" s="65">
        <v>0</v>
      </c>
      <c r="J10" s="66">
        <v>0</v>
      </c>
      <c r="L10" s="32"/>
    </row>
    <row r="11" spans="2:12" ht="15">
      <c r="B11" s="17" t="s">
        <v>93</v>
      </c>
      <c r="C11" s="65">
        <v>0</v>
      </c>
      <c r="D11" s="65">
        <v>0</v>
      </c>
      <c r="E11" s="65">
        <v>0</v>
      </c>
      <c r="F11" s="65">
        <v>0</v>
      </c>
      <c r="G11" s="65">
        <v>0</v>
      </c>
      <c r="H11" s="65">
        <v>0</v>
      </c>
      <c r="I11" s="65">
        <v>0</v>
      </c>
      <c r="J11" s="66">
        <v>0</v>
      </c>
      <c r="L11" s="32"/>
    </row>
    <row r="12" spans="2:12" ht="15">
      <c r="B12" s="18" t="s">
        <v>94</v>
      </c>
      <c r="C12" s="65">
        <v>0</v>
      </c>
      <c r="D12" s="65">
        <v>0</v>
      </c>
      <c r="E12" s="65">
        <v>539.71</v>
      </c>
      <c r="F12" s="65">
        <v>-539.71</v>
      </c>
      <c r="G12" s="65">
        <v>0</v>
      </c>
      <c r="H12" s="65">
        <v>570.48</v>
      </c>
      <c r="I12" s="65">
        <f>SUM(C12:H12)</f>
        <v>570.48</v>
      </c>
      <c r="J12" s="66">
        <f>I12</f>
        <v>570.48</v>
      </c>
      <c r="L12" s="32"/>
    </row>
    <row r="13" spans="2:10" ht="15">
      <c r="B13" s="17" t="s">
        <v>95</v>
      </c>
      <c r="C13" s="65">
        <v>0</v>
      </c>
      <c r="D13" s="65">
        <v>0</v>
      </c>
      <c r="E13" s="65">
        <v>0</v>
      </c>
      <c r="F13" s="65">
        <v>0</v>
      </c>
      <c r="G13" s="65">
        <v>0</v>
      </c>
      <c r="H13" s="65">
        <v>0</v>
      </c>
      <c r="I13" s="65">
        <v>0</v>
      </c>
      <c r="J13" s="66">
        <v>0</v>
      </c>
    </row>
    <row r="14" spans="2:10" ht="15">
      <c r="B14" s="17" t="s">
        <v>96</v>
      </c>
      <c r="C14" s="65">
        <v>0</v>
      </c>
      <c r="D14" s="65">
        <v>0</v>
      </c>
      <c r="E14" s="65">
        <v>0</v>
      </c>
      <c r="F14" s="65">
        <v>0</v>
      </c>
      <c r="G14" s="65">
        <v>0</v>
      </c>
      <c r="H14" s="65">
        <v>0</v>
      </c>
      <c r="I14" s="65">
        <v>0</v>
      </c>
      <c r="J14" s="66">
        <v>0</v>
      </c>
    </row>
    <row r="15" spans="2:10" ht="15">
      <c r="B15" s="19" t="s">
        <v>175</v>
      </c>
      <c r="C15" s="63">
        <f>SUM(C8:C14)</f>
        <v>1799.64</v>
      </c>
      <c r="D15" s="63">
        <f aca="true" t="shared" si="1" ref="D15:J15">SUM(D8:D14)</f>
        <v>23815.49</v>
      </c>
      <c r="E15" s="63">
        <f t="shared" si="1"/>
        <v>5437.72</v>
      </c>
      <c r="F15" s="63">
        <f t="shared" si="1"/>
        <v>0</v>
      </c>
      <c r="G15" s="63">
        <f t="shared" si="1"/>
        <v>415.13</v>
      </c>
      <c r="H15" s="63">
        <f t="shared" si="1"/>
        <v>570.48</v>
      </c>
      <c r="I15" s="63">
        <f>SUM(I8:I14)</f>
        <v>32038.46</v>
      </c>
      <c r="J15" s="63">
        <f t="shared" si="1"/>
        <v>32038.46</v>
      </c>
    </row>
    <row r="16" spans="2:10" ht="15" customHeight="1">
      <c r="B16" s="155" t="s">
        <v>176</v>
      </c>
      <c r="C16" s="156"/>
      <c r="D16" s="156"/>
      <c r="E16" s="156"/>
      <c r="F16" s="156"/>
      <c r="G16" s="156"/>
      <c r="H16" s="156"/>
      <c r="I16" s="156"/>
      <c r="J16" s="157"/>
    </row>
    <row r="17" spans="2:10" ht="15">
      <c r="B17" s="19" t="s">
        <v>160</v>
      </c>
      <c r="C17" s="63">
        <v>1799.64</v>
      </c>
      <c r="D17" s="63">
        <v>23815.49</v>
      </c>
      <c r="E17" s="63">
        <v>3002.98</v>
      </c>
      <c r="F17" s="63">
        <v>1895.05</v>
      </c>
      <c r="G17" s="63">
        <v>415.13</v>
      </c>
      <c r="H17" s="63">
        <v>0</v>
      </c>
      <c r="I17" s="63">
        <f>SUM(C17:H17)</f>
        <v>30928.29</v>
      </c>
      <c r="J17" s="64">
        <f>I17</f>
        <v>30928.29</v>
      </c>
    </row>
    <row r="18" spans="2:10" ht="15">
      <c r="B18" s="17" t="s">
        <v>88</v>
      </c>
      <c r="C18" s="65">
        <v>0</v>
      </c>
      <c r="D18" s="65">
        <v>0</v>
      </c>
      <c r="E18" s="65">
        <v>0</v>
      </c>
      <c r="F18" s="65">
        <v>0</v>
      </c>
      <c r="G18" s="65">
        <v>0</v>
      </c>
      <c r="H18" s="65">
        <v>0</v>
      </c>
      <c r="I18" s="65">
        <v>0</v>
      </c>
      <c r="J18" s="66">
        <f>I18</f>
        <v>0</v>
      </c>
    </row>
    <row r="19" spans="2:10" ht="15">
      <c r="B19" s="17" t="s">
        <v>89</v>
      </c>
      <c r="C19" s="65">
        <v>0</v>
      </c>
      <c r="D19" s="65">
        <v>0</v>
      </c>
      <c r="E19" s="65">
        <v>0</v>
      </c>
      <c r="F19" s="65">
        <v>0</v>
      </c>
      <c r="G19" s="65">
        <v>0</v>
      </c>
      <c r="H19" s="65">
        <v>0</v>
      </c>
      <c r="I19" s="65">
        <v>0</v>
      </c>
      <c r="J19" s="66">
        <f>I19</f>
        <v>0</v>
      </c>
    </row>
    <row r="20" spans="2:10" ht="15">
      <c r="B20" s="19" t="s">
        <v>90</v>
      </c>
      <c r="C20" s="63">
        <f>C17+C19+C18</f>
        <v>1799.64</v>
      </c>
      <c r="D20" s="63">
        <f aca="true" t="shared" si="2" ref="D20:I20">D17+D19+D18</f>
        <v>23815.49</v>
      </c>
      <c r="E20" s="63">
        <f t="shared" si="2"/>
        <v>3002.98</v>
      </c>
      <c r="F20" s="63">
        <f t="shared" si="2"/>
        <v>1895.05</v>
      </c>
      <c r="G20" s="63">
        <f t="shared" si="2"/>
        <v>415.13</v>
      </c>
      <c r="H20" s="63">
        <f t="shared" si="2"/>
        <v>0</v>
      </c>
      <c r="I20" s="63">
        <f t="shared" si="2"/>
        <v>30928.29</v>
      </c>
      <c r="J20" s="63">
        <f>J17+J19+J18</f>
        <v>30928.29</v>
      </c>
    </row>
    <row r="21" spans="2:10" ht="15">
      <c r="B21" s="17" t="s">
        <v>91</v>
      </c>
      <c r="C21" s="65">
        <v>0</v>
      </c>
      <c r="D21" s="65">
        <v>0</v>
      </c>
      <c r="E21" s="65">
        <v>0</v>
      </c>
      <c r="F21" s="65">
        <v>0</v>
      </c>
      <c r="G21" s="65">
        <v>0</v>
      </c>
      <c r="H21" s="65">
        <v>0</v>
      </c>
      <c r="I21" s="65">
        <f aca="true" t="shared" si="3" ref="I21:I26">SUM(C21:H21)</f>
        <v>0</v>
      </c>
      <c r="J21" s="66">
        <f>I21</f>
        <v>0</v>
      </c>
    </row>
    <row r="22" spans="2:10" ht="15">
      <c r="B22" s="17" t="s">
        <v>92</v>
      </c>
      <c r="C22" s="65">
        <v>0</v>
      </c>
      <c r="D22" s="65">
        <v>0</v>
      </c>
      <c r="E22" s="65">
        <v>0</v>
      </c>
      <c r="F22" s="65">
        <v>0</v>
      </c>
      <c r="G22" s="65">
        <v>0</v>
      </c>
      <c r="H22" s="65">
        <v>0</v>
      </c>
      <c r="I22" s="65">
        <f t="shared" si="3"/>
        <v>0</v>
      </c>
      <c r="J22" s="66">
        <f>I22</f>
        <v>0</v>
      </c>
    </row>
    <row r="23" spans="2:10" ht="15">
      <c r="B23" s="17" t="s">
        <v>93</v>
      </c>
      <c r="C23" s="65">
        <v>0</v>
      </c>
      <c r="D23" s="65">
        <v>0</v>
      </c>
      <c r="E23" s="65">
        <v>0</v>
      </c>
      <c r="F23" s="65">
        <v>0</v>
      </c>
      <c r="G23" s="65">
        <v>0</v>
      </c>
      <c r="H23" s="65">
        <v>0</v>
      </c>
      <c r="I23" s="65">
        <f t="shared" si="3"/>
        <v>0</v>
      </c>
      <c r="J23" s="66">
        <f>I23</f>
        <v>0</v>
      </c>
    </row>
    <row r="24" spans="2:10" ht="15">
      <c r="B24" s="18" t="s">
        <v>94</v>
      </c>
      <c r="C24" s="65">
        <v>0</v>
      </c>
      <c r="D24" s="65">
        <v>0</v>
      </c>
      <c r="E24" s="65">
        <v>1895.05</v>
      </c>
      <c r="F24" s="65">
        <v>-1895.05</v>
      </c>
      <c r="G24" s="65">
        <v>0</v>
      </c>
      <c r="H24" s="65">
        <f>'RZiS LUG S.A.'!F26</f>
        <v>450.9</v>
      </c>
      <c r="I24" s="65">
        <f t="shared" si="3"/>
        <v>450.9</v>
      </c>
      <c r="J24" s="66">
        <f>I24</f>
        <v>450.9</v>
      </c>
    </row>
    <row r="25" spans="2:10" ht="15">
      <c r="B25" s="17" t="s">
        <v>95</v>
      </c>
      <c r="C25" s="65">
        <v>0</v>
      </c>
      <c r="D25" s="65">
        <v>0</v>
      </c>
      <c r="E25" s="65">
        <v>0</v>
      </c>
      <c r="F25" s="65">
        <v>0</v>
      </c>
      <c r="G25" s="65">
        <v>0</v>
      </c>
      <c r="H25" s="65">
        <v>0</v>
      </c>
      <c r="I25" s="65">
        <f t="shared" si="3"/>
        <v>0</v>
      </c>
      <c r="J25" s="66">
        <f>I25</f>
        <v>0</v>
      </c>
    </row>
    <row r="26" spans="2:10" ht="15">
      <c r="B26" s="17" t="s">
        <v>96</v>
      </c>
      <c r="C26" s="65">
        <v>0</v>
      </c>
      <c r="D26" s="65">
        <v>0</v>
      </c>
      <c r="E26" s="65">
        <v>0</v>
      </c>
      <c r="F26" s="65">
        <v>0</v>
      </c>
      <c r="G26" s="65">
        <v>0</v>
      </c>
      <c r="H26" s="65">
        <v>0</v>
      </c>
      <c r="I26" s="65">
        <f t="shared" si="3"/>
        <v>0</v>
      </c>
      <c r="J26" s="66">
        <f>SUM(C26:I26)</f>
        <v>0</v>
      </c>
    </row>
    <row r="27" spans="2:11" ht="15.75" thickBot="1">
      <c r="B27" s="20" t="s">
        <v>177</v>
      </c>
      <c r="C27" s="67">
        <f>SUM(C20:C26)</f>
        <v>1799.64</v>
      </c>
      <c r="D27" s="67">
        <f aca="true" t="shared" si="4" ref="D27:I27">SUM(D20:D26)</f>
        <v>23815.49</v>
      </c>
      <c r="E27" s="67">
        <f t="shared" si="4"/>
        <v>4898.03</v>
      </c>
      <c r="F27" s="67">
        <f t="shared" si="4"/>
        <v>0</v>
      </c>
      <c r="G27" s="67">
        <f t="shared" si="4"/>
        <v>415.13</v>
      </c>
      <c r="H27" s="67">
        <f t="shared" si="4"/>
        <v>450.9</v>
      </c>
      <c r="I27" s="67">
        <f t="shared" si="4"/>
        <v>31379.190000000002</v>
      </c>
      <c r="J27" s="68">
        <f>I27</f>
        <v>31379.190000000002</v>
      </c>
      <c r="K27" s="32"/>
    </row>
    <row r="28" ht="15.75" thickTop="1"/>
  </sheetData>
  <sheetProtection/>
  <mergeCells count="3">
    <mergeCell ref="B4:J4"/>
    <mergeCell ref="B16:J16"/>
    <mergeCell ref="C2:J2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G40"/>
  <sheetViews>
    <sheetView zoomScalePageLayoutView="0" workbookViewId="0" topLeftCell="A22">
      <selection activeCell="B34" sqref="B34"/>
    </sheetView>
  </sheetViews>
  <sheetFormatPr defaultColWidth="9.140625" defaultRowHeight="15"/>
  <cols>
    <col min="1" max="1" width="4.28125" style="0" customWidth="1"/>
    <col min="2" max="2" width="44.421875" style="0" customWidth="1"/>
    <col min="3" max="3" width="15.00390625" style="56" customWidth="1"/>
    <col min="4" max="4" width="12.28125" style="93" customWidth="1"/>
    <col min="5" max="5" width="12.28125" style="95" customWidth="1"/>
    <col min="6" max="6" width="12.8515625" style="93" customWidth="1"/>
  </cols>
  <sheetData>
    <row r="1" ht="15.75" thickBot="1"/>
    <row r="2" spans="2:6" ht="16.5" thickBot="1" thickTop="1">
      <c r="B2" s="35"/>
      <c r="C2" s="161" t="s">
        <v>28</v>
      </c>
      <c r="D2" s="162"/>
      <c r="E2" s="162"/>
      <c r="F2" s="163"/>
    </row>
    <row r="3" spans="2:6" ht="34.5" thickTop="1">
      <c r="B3" s="186"/>
      <c r="C3" s="9" t="s">
        <v>170</v>
      </c>
      <c r="D3" s="9" t="s">
        <v>168</v>
      </c>
      <c r="E3" s="187" t="s">
        <v>171</v>
      </c>
      <c r="F3" s="188" t="s">
        <v>169</v>
      </c>
    </row>
    <row r="4" spans="2:6" ht="15">
      <c r="B4" s="36" t="s">
        <v>154</v>
      </c>
      <c r="C4" s="44"/>
      <c r="D4" s="91"/>
      <c r="E4" s="92"/>
      <c r="F4" s="172"/>
    </row>
    <row r="5" spans="2:6" ht="15">
      <c r="B5" s="37" t="s">
        <v>157</v>
      </c>
      <c r="C5" s="174">
        <v>677.23</v>
      </c>
      <c r="D5" s="174">
        <v>583.6899999999999</v>
      </c>
      <c r="E5" s="174">
        <v>570.48</v>
      </c>
      <c r="F5" s="175">
        <v>450.9</v>
      </c>
    </row>
    <row r="6" spans="2:7" ht="15">
      <c r="B6" s="37" t="s">
        <v>126</v>
      </c>
      <c r="C6" s="174">
        <v>-412.095</v>
      </c>
      <c r="D6" s="174">
        <v>-445.53000000000003</v>
      </c>
      <c r="E6" s="174">
        <v>-293.63</v>
      </c>
      <c r="F6" s="175">
        <v>-324.03</v>
      </c>
      <c r="G6" s="33"/>
    </row>
    <row r="7" spans="2:7" ht="22.5">
      <c r="B7" s="38" t="s">
        <v>127</v>
      </c>
      <c r="C7" s="184">
        <v>9.305</v>
      </c>
      <c r="D7" s="176">
        <v>9.17</v>
      </c>
      <c r="E7" s="176">
        <v>18.61</v>
      </c>
      <c r="F7" s="177">
        <v>18.34</v>
      </c>
      <c r="G7" s="34"/>
    </row>
    <row r="8" spans="2:6" ht="15">
      <c r="B8" s="38" t="s">
        <v>128</v>
      </c>
      <c r="C8" s="184">
        <v>0</v>
      </c>
      <c r="D8" s="176">
        <v>0</v>
      </c>
      <c r="E8" s="176">
        <v>0</v>
      </c>
      <c r="F8" s="177">
        <v>0</v>
      </c>
    </row>
    <row r="9" spans="2:6" ht="15">
      <c r="B9" s="38" t="s">
        <v>129</v>
      </c>
      <c r="C9" s="184">
        <v>0</v>
      </c>
      <c r="D9" s="176">
        <v>0</v>
      </c>
      <c r="E9" s="176">
        <v>0</v>
      </c>
      <c r="F9" s="177">
        <v>0</v>
      </c>
    </row>
    <row r="10" spans="2:6" ht="27" customHeight="1">
      <c r="B10" s="38" t="s">
        <v>130</v>
      </c>
      <c r="C10" s="184">
        <v>0</v>
      </c>
      <c r="D10" s="176">
        <v>-168.06</v>
      </c>
      <c r="E10" s="176">
        <v>0</v>
      </c>
      <c r="F10" s="177">
        <v>-168.06</v>
      </c>
    </row>
    <row r="11" spans="2:6" ht="15">
      <c r="B11" s="38" t="s">
        <v>131</v>
      </c>
      <c r="C11" s="184">
        <v>-7.4</v>
      </c>
      <c r="D11" s="176">
        <v>-15</v>
      </c>
      <c r="E11" s="176">
        <v>0.1</v>
      </c>
      <c r="F11" s="177">
        <v>-15</v>
      </c>
    </row>
    <row r="12" spans="2:6" ht="15">
      <c r="B12" s="38" t="s">
        <v>132</v>
      </c>
      <c r="C12" s="184">
        <v>0</v>
      </c>
      <c r="D12" s="176">
        <v>0</v>
      </c>
      <c r="E12" s="176">
        <v>0</v>
      </c>
      <c r="F12" s="177">
        <v>0</v>
      </c>
    </row>
    <row r="13" spans="2:6" ht="15">
      <c r="B13" s="38" t="s">
        <v>133</v>
      </c>
      <c r="C13" s="184">
        <v>-472.11</v>
      </c>
      <c r="D13" s="176">
        <v>-459.1</v>
      </c>
      <c r="E13" s="176">
        <v>-134.96</v>
      </c>
      <c r="F13" s="177">
        <v>-285.82</v>
      </c>
    </row>
    <row r="14" spans="2:6" ht="22.5">
      <c r="B14" s="38" t="s">
        <v>134</v>
      </c>
      <c r="C14" s="184">
        <v>56.81</v>
      </c>
      <c r="D14" s="176">
        <v>133.81</v>
      </c>
      <c r="E14" s="176">
        <v>21.69</v>
      </c>
      <c r="F14" s="177">
        <v>136.82</v>
      </c>
    </row>
    <row r="15" spans="2:6" ht="15">
      <c r="B15" s="38" t="s">
        <v>135</v>
      </c>
      <c r="C15" s="184">
        <v>1.2999999999999998</v>
      </c>
      <c r="D15" s="176">
        <v>53.65</v>
      </c>
      <c r="E15" s="176">
        <v>-199.07</v>
      </c>
      <c r="F15" s="177">
        <v>-10.31</v>
      </c>
    </row>
    <row r="16" spans="2:6" ht="15">
      <c r="B16" s="38" t="s">
        <v>136</v>
      </c>
      <c r="C16" s="184">
        <v>0</v>
      </c>
      <c r="D16" s="176">
        <v>0</v>
      </c>
      <c r="E16" s="176">
        <v>0</v>
      </c>
      <c r="F16" s="177">
        <v>0</v>
      </c>
    </row>
    <row r="17" spans="2:6" ht="38.25" customHeight="1">
      <c r="B17" s="39" t="s">
        <v>137</v>
      </c>
      <c r="C17" s="178">
        <v>265.135</v>
      </c>
      <c r="D17" s="178">
        <v>138.1599999999999</v>
      </c>
      <c r="E17" s="178">
        <v>276.85</v>
      </c>
      <c r="F17" s="179">
        <v>126.87</v>
      </c>
    </row>
    <row r="18" spans="2:6" ht="15">
      <c r="B18" s="36" t="s">
        <v>155</v>
      </c>
      <c r="C18" s="178"/>
      <c r="D18" s="178"/>
      <c r="E18" s="178"/>
      <c r="F18" s="179"/>
    </row>
    <row r="19" spans="2:6" ht="15">
      <c r="B19" s="37" t="s">
        <v>138</v>
      </c>
      <c r="C19" s="174">
        <v>0</v>
      </c>
      <c r="D19" s="174">
        <v>116.47</v>
      </c>
      <c r="E19" s="174">
        <v>0</v>
      </c>
      <c r="F19" s="175">
        <v>116.47</v>
      </c>
    </row>
    <row r="20" spans="2:6" ht="22.5">
      <c r="B20" s="38" t="s">
        <v>139</v>
      </c>
      <c r="C20" s="184">
        <v>0</v>
      </c>
      <c r="D20" s="176">
        <v>0</v>
      </c>
      <c r="E20" s="176">
        <v>0</v>
      </c>
      <c r="F20" s="177">
        <v>0</v>
      </c>
    </row>
    <row r="21" spans="2:6" ht="22.5">
      <c r="B21" s="38" t="s">
        <v>140</v>
      </c>
      <c r="C21" s="184">
        <v>0</v>
      </c>
      <c r="D21" s="176">
        <v>0</v>
      </c>
      <c r="E21" s="176">
        <v>0</v>
      </c>
      <c r="F21" s="177">
        <v>0</v>
      </c>
    </row>
    <row r="22" spans="2:6" ht="15">
      <c r="B22" s="38" t="s">
        <v>158</v>
      </c>
      <c r="C22" s="184">
        <v>0</v>
      </c>
      <c r="D22" s="176">
        <v>116.47</v>
      </c>
      <c r="E22" s="176">
        <v>0</v>
      </c>
      <c r="F22" s="177">
        <v>116.47</v>
      </c>
    </row>
    <row r="23" spans="2:6" ht="15">
      <c r="B23" s="38" t="s">
        <v>141</v>
      </c>
      <c r="C23" s="184">
        <v>0</v>
      </c>
      <c r="D23" s="176">
        <v>0</v>
      </c>
      <c r="E23" s="176">
        <v>0</v>
      </c>
      <c r="F23" s="177">
        <v>0</v>
      </c>
    </row>
    <row r="24" spans="2:6" ht="15">
      <c r="B24" s="37" t="s">
        <v>142</v>
      </c>
      <c r="C24" s="173">
        <v>272.4</v>
      </c>
      <c r="D24" s="174">
        <v>248</v>
      </c>
      <c r="E24" s="174">
        <v>272.4</v>
      </c>
      <c r="F24" s="175">
        <v>556.55</v>
      </c>
    </row>
    <row r="25" spans="2:6" ht="22.5">
      <c r="B25" s="38" t="s">
        <v>143</v>
      </c>
      <c r="C25" s="184">
        <v>0</v>
      </c>
      <c r="D25" s="176">
        <v>0</v>
      </c>
      <c r="E25" s="176">
        <v>0</v>
      </c>
      <c r="F25" s="177">
        <v>0</v>
      </c>
    </row>
    <row r="26" spans="2:6" ht="22.5">
      <c r="B26" s="38" t="s">
        <v>144</v>
      </c>
      <c r="C26" s="184">
        <v>0</v>
      </c>
      <c r="D26" s="176">
        <v>0</v>
      </c>
      <c r="E26" s="176">
        <v>0</v>
      </c>
      <c r="F26" s="177">
        <v>0</v>
      </c>
    </row>
    <row r="27" spans="2:6" ht="15">
      <c r="B27" s="38" t="s">
        <v>164</v>
      </c>
      <c r="C27" s="184">
        <v>272.4</v>
      </c>
      <c r="D27" s="176">
        <v>248</v>
      </c>
      <c r="E27" s="176">
        <v>272.4</v>
      </c>
      <c r="F27" s="177">
        <v>556.55</v>
      </c>
    </row>
    <row r="28" spans="2:6" ht="15">
      <c r="B28" s="38" t="s">
        <v>145</v>
      </c>
      <c r="C28" s="184">
        <v>0</v>
      </c>
      <c r="D28" s="176">
        <v>0</v>
      </c>
      <c r="E28" s="176">
        <v>0</v>
      </c>
      <c r="F28" s="177">
        <v>0</v>
      </c>
    </row>
    <row r="29" spans="2:6" ht="22.5">
      <c r="B29" s="39" t="s">
        <v>146</v>
      </c>
      <c r="C29" s="178">
        <v>-272.4</v>
      </c>
      <c r="D29" s="178">
        <v>-131.53</v>
      </c>
      <c r="E29" s="178">
        <v>-272.4</v>
      </c>
      <c r="F29" s="179">
        <v>-440.0799999999999</v>
      </c>
    </row>
    <row r="30" spans="2:6" ht="15">
      <c r="B30" s="36" t="s">
        <v>156</v>
      </c>
      <c r="C30" s="178"/>
      <c r="D30" s="178"/>
      <c r="E30" s="178"/>
      <c r="F30" s="179"/>
    </row>
    <row r="31" spans="2:6" ht="15">
      <c r="B31" s="37" t="s">
        <v>138</v>
      </c>
      <c r="C31" s="174">
        <v>0</v>
      </c>
      <c r="D31" s="174">
        <v>0</v>
      </c>
      <c r="E31" s="174">
        <v>0</v>
      </c>
      <c r="F31" s="175">
        <v>0</v>
      </c>
    </row>
    <row r="32" spans="2:6" ht="15">
      <c r="B32" s="37" t="s">
        <v>142</v>
      </c>
      <c r="C32" s="174">
        <v>0</v>
      </c>
      <c r="D32" s="174">
        <v>0</v>
      </c>
      <c r="E32" s="174">
        <v>0</v>
      </c>
      <c r="F32" s="175">
        <v>0</v>
      </c>
    </row>
    <row r="33" spans="2:6" ht="22.5">
      <c r="B33" s="39" t="s">
        <v>147</v>
      </c>
      <c r="C33" s="178">
        <v>0</v>
      </c>
      <c r="D33" s="178">
        <v>0</v>
      </c>
      <c r="E33" s="178">
        <v>0</v>
      </c>
      <c r="F33" s="179">
        <v>0</v>
      </c>
    </row>
    <row r="34" spans="2:6" ht="22.5">
      <c r="B34" s="36" t="s">
        <v>148</v>
      </c>
      <c r="C34" s="178">
        <v>-7.264999999999986</v>
      </c>
      <c r="D34" s="178">
        <v>6.62999999999991</v>
      </c>
      <c r="E34" s="178">
        <v>4.4500000000000455</v>
      </c>
      <c r="F34" s="179">
        <v>-313.2099999999999</v>
      </c>
    </row>
    <row r="35" spans="2:6" ht="22.5">
      <c r="B35" s="36" t="s">
        <v>149</v>
      </c>
      <c r="C35" s="180">
        <v>-7.260000000000002</v>
      </c>
      <c r="D35" s="180">
        <v>6.6299999999999955</v>
      </c>
      <c r="E35" s="180">
        <v>4.449999999999999</v>
      </c>
      <c r="F35" s="181">
        <v>-313.22</v>
      </c>
    </row>
    <row r="36" spans="2:6" ht="22.5">
      <c r="B36" s="40" t="s">
        <v>150</v>
      </c>
      <c r="C36" s="184">
        <v>0</v>
      </c>
      <c r="D36" s="176">
        <v>0</v>
      </c>
      <c r="E36" s="176">
        <v>0</v>
      </c>
      <c r="F36" s="177">
        <v>0</v>
      </c>
    </row>
    <row r="37" spans="2:6" ht="15">
      <c r="B37" s="36" t="s">
        <v>151</v>
      </c>
      <c r="C37" s="178">
        <v>24.35</v>
      </c>
      <c r="D37" s="178">
        <v>29.28</v>
      </c>
      <c r="E37" s="178">
        <v>12.64</v>
      </c>
      <c r="F37" s="179">
        <v>349.13</v>
      </c>
    </row>
    <row r="38" spans="2:6" ht="15">
      <c r="B38" s="36" t="s">
        <v>152</v>
      </c>
      <c r="C38" s="178">
        <v>17.09</v>
      </c>
      <c r="D38" s="178">
        <v>35.91</v>
      </c>
      <c r="E38" s="178">
        <v>17.09</v>
      </c>
      <c r="F38" s="179">
        <v>35.91</v>
      </c>
    </row>
    <row r="39" spans="2:6" ht="27" customHeight="1" thickBot="1">
      <c r="B39" s="41" t="s">
        <v>153</v>
      </c>
      <c r="C39" s="185">
        <v>0</v>
      </c>
      <c r="D39" s="182">
        <v>0</v>
      </c>
      <c r="E39" s="182">
        <v>0</v>
      </c>
      <c r="F39" s="183">
        <v>0</v>
      </c>
    </row>
    <row r="40" ht="15.75" thickTop="1">
      <c r="E40" s="94"/>
    </row>
  </sheetData>
  <sheetProtection/>
  <mergeCells count="1">
    <mergeCell ref="C2:F2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L32"/>
  <sheetViews>
    <sheetView tabSelected="1" zoomScalePageLayoutView="0" workbookViewId="0" topLeftCell="A1">
      <selection activeCell="N7" sqref="N7"/>
    </sheetView>
  </sheetViews>
  <sheetFormatPr defaultColWidth="9.140625" defaultRowHeight="15"/>
  <cols>
    <col min="2" max="2" width="39.28125" style="0" customWidth="1"/>
    <col min="3" max="4" width="10.140625" style="56" customWidth="1"/>
    <col min="5" max="6" width="10.140625" style="0" customWidth="1"/>
    <col min="7" max="12" width="10.140625" style="56" customWidth="1"/>
  </cols>
  <sheetData>
    <row r="2" ht="15.75" thickBot="1"/>
    <row r="3" spans="2:12" ht="15.75" thickTop="1">
      <c r="B3" s="164"/>
      <c r="C3" s="99" t="s">
        <v>165</v>
      </c>
      <c r="D3" s="99" t="s">
        <v>165</v>
      </c>
      <c r="E3" s="99" t="s">
        <v>165</v>
      </c>
      <c r="F3" s="99" t="s">
        <v>165</v>
      </c>
      <c r="G3" s="189" t="s">
        <v>97</v>
      </c>
      <c r="H3" s="99" t="s">
        <v>166</v>
      </c>
      <c r="I3" s="99" t="s">
        <v>166</v>
      </c>
      <c r="J3" s="99" t="s">
        <v>166</v>
      </c>
      <c r="K3" s="99" t="s">
        <v>166</v>
      </c>
      <c r="L3" s="191" t="s">
        <v>97</v>
      </c>
    </row>
    <row r="4" spans="2:12" ht="15">
      <c r="B4" s="165"/>
      <c r="C4" s="21" t="s">
        <v>162</v>
      </c>
      <c r="D4" s="21" t="s">
        <v>98</v>
      </c>
      <c r="E4" s="21" t="s">
        <v>163</v>
      </c>
      <c r="F4" s="21" t="s">
        <v>99</v>
      </c>
      <c r="G4" s="190"/>
      <c r="H4" s="21" t="s">
        <v>162</v>
      </c>
      <c r="I4" s="21" t="s">
        <v>98</v>
      </c>
      <c r="J4" s="21" t="s">
        <v>163</v>
      </c>
      <c r="K4" s="21" t="s">
        <v>99</v>
      </c>
      <c r="L4" s="192"/>
    </row>
    <row r="5" spans="2:12" ht="15">
      <c r="B5" s="100" t="s">
        <v>0</v>
      </c>
      <c r="C5" s="69">
        <f>'RZiS LUG S.A.'!C4</f>
        <v>225</v>
      </c>
      <c r="D5" s="69">
        <f>'RZiS LUG S.A.'!D4</f>
        <v>105.1</v>
      </c>
      <c r="E5" s="71">
        <f>C5/'Kursy walut'!$D$6</f>
        <v>53.99006582788767</v>
      </c>
      <c r="F5" s="69">
        <f>D5/'Kursy walut'!$D$5</f>
        <v>24.705578148139438</v>
      </c>
      <c r="G5" s="76">
        <f>(C5/D5)*100</f>
        <v>214.08182683158898</v>
      </c>
      <c r="H5" s="71">
        <f>'RZiS LUG S.A.'!E4</f>
        <v>330</v>
      </c>
      <c r="I5" s="69">
        <f>'RZiS LUG S.A.'!F4</f>
        <v>215.21</v>
      </c>
      <c r="J5" s="69">
        <f>H5/'Kursy walut'!$E$6</f>
        <v>78.97696903943265</v>
      </c>
      <c r="K5" s="69">
        <f>I5/'Kursy walut'!$E$5</f>
        <v>51.070242050308494</v>
      </c>
      <c r="L5" s="101">
        <f>(H5/I5)*100</f>
        <v>153.33859950745784</v>
      </c>
    </row>
    <row r="6" spans="2:12" ht="15">
      <c r="B6" s="102" t="s">
        <v>100</v>
      </c>
      <c r="C6" s="70">
        <f>'Rach.przep.pienięż LUG S.A.'!C7</f>
        <v>9.305</v>
      </c>
      <c r="D6" s="70">
        <f>'Rach.przep.pienięż LUG S.A.'!D7</f>
        <v>9.17</v>
      </c>
      <c r="E6" s="72">
        <f>C6/'Kursy walut'!$D$6</f>
        <v>2.23278916679331</v>
      </c>
      <c r="F6" s="70">
        <f>D6/'Kursy walut'!$D$5</f>
        <v>2.155567570108836</v>
      </c>
      <c r="G6" s="77">
        <f aca="true" t="shared" si="0" ref="G6:G13">(C6/D6)*100</f>
        <v>101.4721919302072</v>
      </c>
      <c r="H6" s="72">
        <f>'Rach.przep.pienięż LUG S.A.'!E7</f>
        <v>18.61</v>
      </c>
      <c r="I6" s="70">
        <f>'Rach.przep.pienięż LUG S.A.'!F7</f>
        <v>18.34</v>
      </c>
      <c r="J6" s="70">
        <f>H6/'Kursy walut'!$E$6</f>
        <v>4.453822405526792</v>
      </c>
      <c r="K6" s="70">
        <f>I6/'Kursy walut'!$E$5</f>
        <v>4.352159468438538</v>
      </c>
      <c r="L6" s="103">
        <f aca="true" t="shared" si="1" ref="L6:L13">(H6/I6)*100</f>
        <v>101.4721919302072</v>
      </c>
    </row>
    <row r="7" spans="2:12" ht="15">
      <c r="B7" s="100" t="s">
        <v>101</v>
      </c>
      <c r="C7" s="69">
        <f>'RZiS LUG S.A.'!C10</f>
        <v>225</v>
      </c>
      <c r="D7" s="69">
        <f>'RZiS LUG S.A.'!D10</f>
        <v>105.1</v>
      </c>
      <c r="E7" s="71">
        <f>C7/'Kursy walut'!$D$6</f>
        <v>53.99006582788767</v>
      </c>
      <c r="F7" s="69">
        <f>D7/'Kursy walut'!$D$5</f>
        <v>24.705578148139438</v>
      </c>
      <c r="G7" s="76">
        <f t="shared" si="0"/>
        <v>214.08182683158898</v>
      </c>
      <c r="H7" s="71">
        <f>'RZiS LUG S.A.'!E10</f>
        <v>330</v>
      </c>
      <c r="I7" s="69">
        <f>'RZiS LUG S.A.'!F10</f>
        <v>213.96</v>
      </c>
      <c r="J7" s="69">
        <f>H7/'Kursy walut'!$E$6</f>
        <v>78.97696903943265</v>
      </c>
      <c r="K7" s="69">
        <f>I7/'Kursy walut'!$E$5</f>
        <v>50.773611770289506</v>
      </c>
      <c r="L7" s="101">
        <f t="shared" si="1"/>
        <v>154.23443634324173</v>
      </c>
    </row>
    <row r="8" spans="2:12" ht="15">
      <c r="B8" s="102" t="s">
        <v>102</v>
      </c>
      <c r="C8" s="70">
        <f>'RZiS LUG S.A.'!C10-'RZiS LUG S.A.'!C13-'RZiS LUG S.A.'!C14</f>
        <v>-22.849999999999994</v>
      </c>
      <c r="D8" s="70">
        <f>'RZiS LUG S.A.'!D10-'RZiS LUG S.A.'!D13-'RZiS LUG S.A.'!D14</f>
        <v>-116.57</v>
      </c>
      <c r="E8" s="72">
        <f>C8/'Kursy walut'!$D$6</f>
        <v>-5.482991129632146</v>
      </c>
      <c r="F8" s="70">
        <f>D8/'Kursy walut'!$D$5</f>
        <v>-27.401800615876446</v>
      </c>
      <c r="G8" s="77">
        <f t="shared" si="0"/>
        <v>19.601955906322377</v>
      </c>
      <c r="H8" s="72">
        <f>'RZiS LUG S.A.'!E10-'RZiS LUG S.A.'!E13-'RZiS LUG S.A.'!E14</f>
        <v>-129.55</v>
      </c>
      <c r="I8" s="72">
        <f>'RZiS LUG S.A.'!F10-'RZiS LUG S.A.'!F13-'RZiS LUG S.A.'!F14</f>
        <v>-252.21</v>
      </c>
      <c r="J8" s="70">
        <f>H8/'Kursy walut'!$E$6</f>
        <v>-31.004443451692424</v>
      </c>
      <c r="K8" s="70">
        <f>I8/'Kursy walut'!$E$5</f>
        <v>-59.85049833887043</v>
      </c>
      <c r="L8" s="103">
        <f t="shared" si="1"/>
        <v>51.36592522104596</v>
      </c>
    </row>
    <row r="9" spans="2:12" ht="15">
      <c r="B9" s="100" t="s">
        <v>103</v>
      </c>
      <c r="C9" s="69">
        <f>'RZiS LUG S.A.'!C17</f>
        <v>-22.769999999999982</v>
      </c>
      <c r="D9" s="69">
        <f>'RZiS LUG S.A.'!D17</f>
        <v>-116.1</v>
      </c>
      <c r="E9" s="71">
        <f>C9/'Kursy walut'!$D$6</f>
        <v>-5.463794661782227</v>
      </c>
      <c r="F9" s="69">
        <f>D9/'Kursy walut'!$D$5</f>
        <v>-27.291318962882862</v>
      </c>
      <c r="G9" s="76">
        <f t="shared" si="0"/>
        <v>19.61240310077518</v>
      </c>
      <c r="H9" s="71">
        <f>'RZiS LUG S.A.'!E17</f>
        <v>-129.40000000000003</v>
      </c>
      <c r="I9" s="71">
        <f>'RZiS LUG S.A.'!F17</f>
        <v>-251.79000000000002</v>
      </c>
      <c r="J9" s="69">
        <f>H9/'Kursy walut'!$E$6</f>
        <v>-30.968544829401775</v>
      </c>
      <c r="K9" s="69">
        <f>I9/'Kursy walut'!$E$5</f>
        <v>-59.75083056478405</v>
      </c>
      <c r="L9" s="101">
        <f t="shared" si="1"/>
        <v>51.3920330434092</v>
      </c>
    </row>
    <row r="10" spans="2:12" ht="15">
      <c r="B10" s="102" t="s">
        <v>104</v>
      </c>
      <c r="C10" s="70">
        <f>'RZiS LUG S.A.'!C21</f>
        <v>677.23</v>
      </c>
      <c r="D10" s="70">
        <f>'RZiS LUG S.A.'!D21</f>
        <v>583.6899999999999</v>
      </c>
      <c r="E10" s="72">
        <f>C10/'Kursy walut'!$D$6</f>
        <v>162.50529902497942</v>
      </c>
      <c r="F10" s="70">
        <f>D10/'Kursy walut'!$D$5</f>
        <v>137.2064596506899</v>
      </c>
      <c r="G10" s="77">
        <f t="shared" si="0"/>
        <v>116.02563004334495</v>
      </c>
      <c r="H10" s="72">
        <f>'RZiS LUG S.A.'!E21</f>
        <v>570.4799999999999</v>
      </c>
      <c r="I10" s="72">
        <f>'RZiS LUG S.A.'!F21</f>
        <v>450.90000000000003</v>
      </c>
      <c r="J10" s="70">
        <f>H10/'Kursy walut'!$E$6</f>
        <v>136.52964029580463</v>
      </c>
      <c r="K10" s="70">
        <f>I10/'Kursy walut'!$E$5</f>
        <v>107.00047460844803</v>
      </c>
      <c r="L10" s="103">
        <f t="shared" si="1"/>
        <v>126.52029274783763</v>
      </c>
    </row>
    <row r="11" spans="2:12" ht="15">
      <c r="B11" s="100" t="s">
        <v>106</v>
      </c>
      <c r="C11" s="71">
        <f>C6+C9</f>
        <v>-13.464999999999982</v>
      </c>
      <c r="D11" s="71">
        <f>D6+D9</f>
        <v>-106.92999999999999</v>
      </c>
      <c r="E11" s="71">
        <f>C11/'Kursy walut'!$D$6</f>
        <v>-3.2310054949889175</v>
      </c>
      <c r="F11" s="69">
        <f>D11/'Kursy walut'!$D$5</f>
        <v>-25.135751392774026</v>
      </c>
      <c r="G11" s="76">
        <f t="shared" si="0"/>
        <v>12.592350135602715</v>
      </c>
      <c r="H11" s="71">
        <f>H6+H9</f>
        <v>-110.79000000000003</v>
      </c>
      <c r="I11" s="71">
        <f>I9+I6</f>
        <v>-233.45000000000002</v>
      </c>
      <c r="J11" s="69">
        <f>H11/'Kursy walut'!$E$6</f>
        <v>-26.514722423874986</v>
      </c>
      <c r="K11" s="69">
        <f>I11/'Kursy walut'!$E$5</f>
        <v>-55.39867109634552</v>
      </c>
      <c r="L11" s="101">
        <f t="shared" si="1"/>
        <v>47.4576997215678</v>
      </c>
    </row>
    <row r="12" spans="2:12" ht="15">
      <c r="B12" s="102" t="s">
        <v>107</v>
      </c>
      <c r="C12" s="72">
        <f>'RZiS LUG S.A.'!C21</f>
        <v>677.23</v>
      </c>
      <c r="D12" s="72">
        <f>'RZiS LUG S.A.'!D21</f>
        <v>583.6899999999999</v>
      </c>
      <c r="E12" s="72">
        <f>C12/'Kursy walut'!$D$6</f>
        <v>162.50529902497942</v>
      </c>
      <c r="F12" s="70">
        <f>D12/'Kursy walut'!$D$5</f>
        <v>137.2064596506899</v>
      </c>
      <c r="G12" s="77">
        <f t="shared" si="0"/>
        <v>116.02563004334495</v>
      </c>
      <c r="H12" s="72">
        <f>'RZiS LUG S.A.'!E21</f>
        <v>570.4799999999999</v>
      </c>
      <c r="I12" s="72">
        <f>'RZiS LUG S.A.'!F21</f>
        <v>450.90000000000003</v>
      </c>
      <c r="J12" s="70">
        <f>H12/'Kursy walut'!$E$6</f>
        <v>136.52964029580463</v>
      </c>
      <c r="K12" s="70">
        <f>I12/'Kursy walut'!$E$5</f>
        <v>107.00047460844803</v>
      </c>
      <c r="L12" s="103">
        <f t="shared" si="1"/>
        <v>126.52029274783763</v>
      </c>
    </row>
    <row r="13" spans="2:12" ht="15">
      <c r="B13" s="100" t="s">
        <v>22</v>
      </c>
      <c r="C13" s="71">
        <f>'RZiS LUG S.A.'!C26</f>
        <v>677.23</v>
      </c>
      <c r="D13" s="71">
        <f>'RZiS LUG S.A.'!D26</f>
        <v>583.69</v>
      </c>
      <c r="E13" s="71">
        <f>C13/'Kursy walut'!$D$6</f>
        <v>162.50529902497942</v>
      </c>
      <c r="F13" s="69">
        <f>D13/'Kursy walut'!$D$5</f>
        <v>137.20645965068994</v>
      </c>
      <c r="G13" s="76">
        <f t="shared" si="0"/>
        <v>116.02563004334492</v>
      </c>
      <c r="H13" s="71">
        <f>'RZiS LUG S.A.'!E26</f>
        <v>570.4799999999999</v>
      </c>
      <c r="I13" s="71">
        <f>'RZiS LUG S.A.'!F26</f>
        <v>450.9</v>
      </c>
      <c r="J13" s="69">
        <f>H13/'Kursy walut'!$E$6</f>
        <v>136.52964029580463</v>
      </c>
      <c r="K13" s="69">
        <f>I13/'Kursy walut'!$E$5</f>
        <v>107.00047460844802</v>
      </c>
      <c r="L13" s="101">
        <f t="shared" si="1"/>
        <v>126.52029274783764</v>
      </c>
    </row>
    <row r="14" spans="2:12" ht="15">
      <c r="B14" s="166"/>
      <c r="C14" s="23" t="s">
        <v>167</v>
      </c>
      <c r="D14" s="23" t="s">
        <v>167</v>
      </c>
      <c r="E14" s="23" t="s">
        <v>167</v>
      </c>
      <c r="F14" s="23" t="s">
        <v>167</v>
      </c>
      <c r="G14" s="190" t="s">
        <v>97</v>
      </c>
      <c r="H14" s="23" t="s">
        <v>167</v>
      </c>
      <c r="I14" s="23" t="s">
        <v>167</v>
      </c>
      <c r="J14" s="23" t="s">
        <v>167</v>
      </c>
      <c r="K14" s="23" t="s">
        <v>167</v>
      </c>
      <c r="L14" s="192" t="s">
        <v>97</v>
      </c>
    </row>
    <row r="15" spans="2:12" ht="15">
      <c r="B15" s="167"/>
      <c r="C15" s="21" t="s">
        <v>162</v>
      </c>
      <c r="D15" s="21" t="s">
        <v>98</v>
      </c>
      <c r="E15" s="21" t="s">
        <v>163</v>
      </c>
      <c r="F15" s="21" t="s">
        <v>99</v>
      </c>
      <c r="G15" s="190"/>
      <c r="H15" s="21" t="s">
        <v>162</v>
      </c>
      <c r="I15" s="21" t="s">
        <v>98</v>
      </c>
      <c r="J15" s="21" t="s">
        <v>163</v>
      </c>
      <c r="K15" s="21" t="s">
        <v>99</v>
      </c>
      <c r="L15" s="192"/>
    </row>
    <row r="16" spans="2:12" ht="15">
      <c r="B16" s="102" t="s">
        <v>108</v>
      </c>
      <c r="C16" s="73">
        <f>C17+C18</f>
        <v>32353.729999999996</v>
      </c>
      <c r="D16" s="73">
        <f>D17+D18</f>
        <v>31757.08</v>
      </c>
      <c r="E16" s="73">
        <f>C16/'Kursy walut'!$C$6</f>
        <v>7775.656708885096</v>
      </c>
      <c r="F16" s="73">
        <f>D16/'Kursy walut'!$C$5</f>
        <v>7335.553912963134</v>
      </c>
      <c r="G16" s="78">
        <f>(C16/D16)*100</f>
        <v>101.87879364223662</v>
      </c>
      <c r="H16" s="73">
        <v>32353.729999999996</v>
      </c>
      <c r="I16" s="73">
        <v>31757.08</v>
      </c>
      <c r="J16" s="73">
        <f>E16</f>
        <v>7775.656708885096</v>
      </c>
      <c r="K16" s="73">
        <f>F16</f>
        <v>7335.553912963134</v>
      </c>
      <c r="L16" s="104">
        <f>(H16/I16)*100</f>
        <v>101.87879364223662</v>
      </c>
    </row>
    <row r="17" spans="2:12" ht="15">
      <c r="B17" s="100" t="s">
        <v>29</v>
      </c>
      <c r="C17" s="74">
        <f>'[1]Bilans LUG S.A.'!C4</f>
        <v>31515.539999999997</v>
      </c>
      <c r="D17" s="74">
        <f>'[1]Bilans LUG S.A.'!D4</f>
        <v>30679.13</v>
      </c>
      <c r="E17" s="98">
        <f>C17/'Kursy walut'!$C$6</f>
        <v>7574.212309836814</v>
      </c>
      <c r="F17" s="98">
        <f>D17/'Kursy walut'!$C$5</f>
        <v>7086.558717545967</v>
      </c>
      <c r="G17" s="79">
        <f aca="true" t="shared" si="2" ref="G17:G28">(C17/D17)*100</f>
        <v>102.72631590269997</v>
      </c>
      <c r="H17" s="74">
        <v>31515.539999999997</v>
      </c>
      <c r="I17" s="74">
        <v>30679.13</v>
      </c>
      <c r="J17" s="98">
        <f aca="true" t="shared" si="3" ref="J17:J28">E17</f>
        <v>7574.212309836814</v>
      </c>
      <c r="K17" s="98">
        <f aca="true" t="shared" si="4" ref="K17:K28">F17</f>
        <v>7086.558717545967</v>
      </c>
      <c r="L17" s="119">
        <f aca="true" t="shared" si="5" ref="L17:L28">(H17/I17)*100</f>
        <v>102.72631590269997</v>
      </c>
    </row>
    <row r="18" spans="2:12" ht="15">
      <c r="B18" s="102" t="s">
        <v>38</v>
      </c>
      <c r="C18" s="73">
        <f>'[1]Bilans LUG S.A.'!C13</f>
        <v>838.19</v>
      </c>
      <c r="D18" s="73">
        <f>'[1]Bilans LUG S.A.'!D13</f>
        <v>1077.95</v>
      </c>
      <c r="E18" s="73">
        <f>C18/'Kursy walut'!$C$6</f>
        <v>201.44439904828283</v>
      </c>
      <c r="F18" s="73">
        <f>D18/'Kursy walut'!$C$5</f>
        <v>248.99519541716714</v>
      </c>
      <c r="G18" s="78">
        <f t="shared" si="2"/>
        <v>77.75778097314347</v>
      </c>
      <c r="H18" s="73">
        <v>838.19</v>
      </c>
      <c r="I18" s="73">
        <v>1077.95</v>
      </c>
      <c r="J18" s="73">
        <f t="shared" si="3"/>
        <v>201.44439904828283</v>
      </c>
      <c r="K18" s="73">
        <f t="shared" si="4"/>
        <v>248.99519541716714</v>
      </c>
      <c r="L18" s="104">
        <f t="shared" si="5"/>
        <v>77.75778097314347</v>
      </c>
    </row>
    <row r="19" spans="2:12" ht="15">
      <c r="B19" s="100" t="s">
        <v>39</v>
      </c>
      <c r="C19" s="74">
        <f>'[1]Bilans LUG S.A.'!C14</f>
        <v>0</v>
      </c>
      <c r="D19" s="74">
        <f>'[1]Bilans LUG S.A.'!D14</f>
        <v>0</v>
      </c>
      <c r="E19" s="98">
        <f>C19/'Kursy walut'!$C$6</f>
        <v>0</v>
      </c>
      <c r="F19" s="98">
        <f>D19/'Kursy walut'!$C$5</f>
        <v>0</v>
      </c>
      <c r="G19" s="79" t="s">
        <v>105</v>
      </c>
      <c r="H19" s="74">
        <v>0</v>
      </c>
      <c r="I19" s="74">
        <v>0</v>
      </c>
      <c r="J19" s="98">
        <f t="shared" si="3"/>
        <v>0</v>
      </c>
      <c r="K19" s="98">
        <f t="shared" si="4"/>
        <v>0</v>
      </c>
      <c r="L19" s="119" t="s">
        <v>105</v>
      </c>
    </row>
    <row r="20" spans="2:12" ht="15">
      <c r="B20" s="102" t="s">
        <v>109</v>
      </c>
      <c r="C20" s="73">
        <f>'[1]Bilans LUG S.A.'!C22</f>
        <v>17.09</v>
      </c>
      <c r="D20" s="73">
        <f>'[1]Bilans LUG S.A.'!D22</f>
        <v>35.91</v>
      </c>
      <c r="E20" s="73">
        <f>C20/'Kursy walut'!$C$6</f>
        <v>4.107284481722704</v>
      </c>
      <c r="F20" s="73">
        <f>D20/'Kursy walut'!$C$5</f>
        <v>8.29483507345468</v>
      </c>
      <c r="G20" s="78">
        <f t="shared" si="2"/>
        <v>47.59120022277917</v>
      </c>
      <c r="H20" s="73">
        <v>17.09</v>
      </c>
      <c r="I20" s="73">
        <v>35.91</v>
      </c>
      <c r="J20" s="73">
        <f t="shared" si="3"/>
        <v>4.107284481722704</v>
      </c>
      <c r="K20" s="73">
        <f t="shared" si="4"/>
        <v>8.29483507345468</v>
      </c>
      <c r="L20" s="104">
        <f t="shared" si="5"/>
        <v>47.59120022277917</v>
      </c>
    </row>
    <row r="21" spans="2:12" ht="15">
      <c r="B21" s="100" t="s">
        <v>110</v>
      </c>
      <c r="C21" s="74">
        <f>C22+C23</f>
        <v>1339.8899999999999</v>
      </c>
      <c r="D21" s="74">
        <f>D22+D23</f>
        <v>1311.5700000000002</v>
      </c>
      <c r="E21" s="98">
        <f>C21/'Kursy walut'!$C$6</f>
        <v>322.0192746761518</v>
      </c>
      <c r="F21" s="98">
        <f>D21/'Kursy walut'!$C$5</f>
        <v>302.95897625427335</v>
      </c>
      <c r="G21" s="79">
        <f t="shared" si="2"/>
        <v>102.1592442645074</v>
      </c>
      <c r="H21" s="74">
        <v>1339.8899999999999</v>
      </c>
      <c r="I21" s="74">
        <v>1311.5700000000002</v>
      </c>
      <c r="J21" s="98">
        <f t="shared" si="3"/>
        <v>322.0192746761518</v>
      </c>
      <c r="K21" s="98">
        <f t="shared" si="4"/>
        <v>302.95897625427335</v>
      </c>
      <c r="L21" s="119">
        <f t="shared" si="5"/>
        <v>102.1592442645074</v>
      </c>
    </row>
    <row r="22" spans="2:12" ht="15">
      <c r="B22" s="102" t="s">
        <v>111</v>
      </c>
      <c r="C22" s="73">
        <f>'[1]Bilans LUG S.A.'!C15+'[1]Bilans LUG S.A.'!C16+'[1]Bilans LUG S.A.'!C17</f>
        <v>804.89</v>
      </c>
      <c r="D22" s="73">
        <f>'[1]Bilans LUG S.A.'!D15+'[1]Bilans LUG S.A.'!D16+'[1]Bilans LUG S.A.'!D17</f>
        <v>776.57</v>
      </c>
      <c r="E22" s="73">
        <f>C22/'Kursy walut'!$C$6</f>
        <v>193.4413227907424</v>
      </c>
      <c r="F22" s="73">
        <f>D22/'Kursy walut'!$C$5</f>
        <v>179.37956204379563</v>
      </c>
      <c r="G22" s="78">
        <f t="shared" si="2"/>
        <v>103.64680582561778</v>
      </c>
      <c r="H22" s="73">
        <v>804.89</v>
      </c>
      <c r="I22" s="73">
        <v>776.57</v>
      </c>
      <c r="J22" s="73">
        <f t="shared" si="3"/>
        <v>193.4413227907424</v>
      </c>
      <c r="K22" s="73">
        <f t="shared" si="4"/>
        <v>179.37956204379563</v>
      </c>
      <c r="L22" s="104">
        <f t="shared" si="5"/>
        <v>103.64680582561778</v>
      </c>
    </row>
    <row r="23" spans="2:12" ht="15">
      <c r="B23" s="100" t="s">
        <v>112</v>
      </c>
      <c r="C23" s="74">
        <f>'[1]Bilans LUG S.A.'!C12</f>
        <v>535</v>
      </c>
      <c r="D23" s="74">
        <f>'[1]Bilans LUG S.A.'!D12</f>
        <v>535</v>
      </c>
      <c r="E23" s="98">
        <f>C23/'Kursy walut'!$C$6</f>
        <v>128.57795188540942</v>
      </c>
      <c r="F23" s="98">
        <f>D23/'Kursy walut'!$C$5</f>
        <v>123.57941421047768</v>
      </c>
      <c r="G23" s="80">
        <f t="shared" si="2"/>
        <v>100</v>
      </c>
      <c r="H23" s="74">
        <v>535</v>
      </c>
      <c r="I23" s="74">
        <v>535</v>
      </c>
      <c r="J23" s="98">
        <f t="shared" si="3"/>
        <v>128.57795188540942</v>
      </c>
      <c r="K23" s="98">
        <f t="shared" si="4"/>
        <v>123.57941421047768</v>
      </c>
      <c r="L23" s="104">
        <f t="shared" si="5"/>
        <v>100</v>
      </c>
    </row>
    <row r="24" spans="2:12" ht="15">
      <c r="B24" s="102" t="s">
        <v>113</v>
      </c>
      <c r="C24" s="73">
        <f>C25+C26</f>
        <v>315.27</v>
      </c>
      <c r="D24" s="73">
        <f>D25+D26</f>
        <v>377.91</v>
      </c>
      <c r="E24" s="73">
        <f>C24/'Kursy walut'!$C$6</f>
        <v>75.76966521665986</v>
      </c>
      <c r="F24" s="73">
        <f>D24/'Kursy walut'!$C$5</f>
        <v>87.29326434445163</v>
      </c>
      <c r="G24" s="78">
        <f t="shared" si="2"/>
        <v>83.42462491069301</v>
      </c>
      <c r="H24" s="73">
        <v>315.27</v>
      </c>
      <c r="I24" s="73">
        <v>377.91</v>
      </c>
      <c r="J24" s="73">
        <f t="shared" si="3"/>
        <v>75.76966521665986</v>
      </c>
      <c r="K24" s="73">
        <f t="shared" si="4"/>
        <v>87.29326434445163</v>
      </c>
      <c r="L24" s="104">
        <f t="shared" si="5"/>
        <v>83.42462491069301</v>
      </c>
    </row>
    <row r="25" spans="2:12" ht="15">
      <c r="B25" s="100" t="s">
        <v>114</v>
      </c>
      <c r="C25" s="74">
        <f>'[1]Bilans LUG S.A.'!C38</f>
        <v>144.93</v>
      </c>
      <c r="D25" s="74">
        <f>'[1]Bilans LUG S.A.'!D38</f>
        <v>133.86</v>
      </c>
      <c r="E25" s="98">
        <f>C25/'Kursy walut'!$C$6</f>
        <v>34.831406666826894</v>
      </c>
      <c r="F25" s="98">
        <f>D25/'Kursy walut'!$C$5</f>
        <v>30.920262404139336</v>
      </c>
      <c r="G25" s="79">
        <f t="shared" si="2"/>
        <v>108.2698341550874</v>
      </c>
      <c r="H25" s="74">
        <v>144.93</v>
      </c>
      <c r="I25" s="74">
        <v>133.86</v>
      </c>
      <c r="J25" s="98">
        <f t="shared" si="3"/>
        <v>34.831406666826894</v>
      </c>
      <c r="K25" s="98">
        <f t="shared" si="4"/>
        <v>30.920262404139336</v>
      </c>
      <c r="L25" s="119">
        <f t="shared" si="5"/>
        <v>108.2698341550874</v>
      </c>
    </row>
    <row r="26" spans="2:12" ht="15">
      <c r="B26" s="102" t="s">
        <v>69</v>
      </c>
      <c r="C26" s="73">
        <f>'[1]Bilans LUG S.A.'!C46</f>
        <v>170.34</v>
      </c>
      <c r="D26" s="73">
        <f>'[1]Bilans LUG S.A.'!D46</f>
        <v>244.05</v>
      </c>
      <c r="E26" s="73">
        <f>C26/'Kursy walut'!$C$6</f>
        <v>40.93825854983297</v>
      </c>
      <c r="F26" s="73">
        <f>D26/'Kursy walut'!$C$5</f>
        <v>56.3730019403123</v>
      </c>
      <c r="G26" s="78">
        <f t="shared" si="2"/>
        <v>69.79717271051014</v>
      </c>
      <c r="H26" s="73">
        <v>170.34</v>
      </c>
      <c r="I26" s="73">
        <v>244.05</v>
      </c>
      <c r="J26" s="73">
        <f t="shared" si="3"/>
        <v>40.93825854983297</v>
      </c>
      <c r="K26" s="73">
        <f t="shared" si="4"/>
        <v>56.3730019403123</v>
      </c>
      <c r="L26" s="104">
        <f t="shared" si="5"/>
        <v>69.79717271051014</v>
      </c>
    </row>
    <row r="27" spans="2:12" ht="15">
      <c r="B27" s="100" t="s">
        <v>115</v>
      </c>
      <c r="C27" s="74">
        <f>'[1]Bilans LUG S.A.'!C28</f>
        <v>32038.460000000003</v>
      </c>
      <c r="D27" s="74">
        <f>'[1]Bilans LUG S.A.'!D28</f>
        <v>31379.170000000002</v>
      </c>
      <c r="E27" s="98">
        <f>C27/'Kursy walut'!$C$6</f>
        <v>7699.887043668438</v>
      </c>
      <c r="F27" s="98">
        <f>D27/'Kursy walut'!$C$5</f>
        <v>7248.260648618682</v>
      </c>
      <c r="G27" s="79">
        <f t="shared" si="2"/>
        <v>102.10104346290866</v>
      </c>
      <c r="H27" s="74">
        <v>32038.460000000003</v>
      </c>
      <c r="I27" s="74">
        <v>31379.170000000002</v>
      </c>
      <c r="J27" s="98">
        <f t="shared" si="3"/>
        <v>7699.887043668438</v>
      </c>
      <c r="K27" s="98">
        <f t="shared" si="4"/>
        <v>7248.260648618682</v>
      </c>
      <c r="L27" s="119">
        <f t="shared" si="5"/>
        <v>102.10104346290866</v>
      </c>
    </row>
    <row r="28" spans="2:12" ht="15.75" thickBot="1">
      <c r="B28" s="105" t="s">
        <v>116</v>
      </c>
      <c r="C28" s="106">
        <f>'[1]Bilans LUG S.A.'!C29</f>
        <v>1799.64</v>
      </c>
      <c r="D28" s="106">
        <f>'[1]Bilans LUG S.A.'!D29</f>
        <v>1799.64</v>
      </c>
      <c r="E28" s="106">
        <f>C28/'Kursy walut'!$C$6</f>
        <v>432.51219688048263</v>
      </c>
      <c r="F28" s="106">
        <f>D28/'Kursy walut'!$C$5</f>
        <v>415.6980504481198</v>
      </c>
      <c r="G28" s="107">
        <f t="shared" si="2"/>
        <v>100</v>
      </c>
      <c r="H28" s="106">
        <v>1799.64</v>
      </c>
      <c r="I28" s="106">
        <v>1799.64</v>
      </c>
      <c r="J28" s="106">
        <f t="shared" si="3"/>
        <v>432.51219688048263</v>
      </c>
      <c r="K28" s="106">
        <f t="shared" si="4"/>
        <v>415.6980504481198</v>
      </c>
      <c r="L28" s="108">
        <f t="shared" si="5"/>
        <v>100</v>
      </c>
    </row>
    <row r="29" spans="3:9" ht="15.75" thickTop="1">
      <c r="C29" s="62"/>
      <c r="D29" s="62"/>
      <c r="H29" s="62"/>
      <c r="I29" s="62"/>
    </row>
    <row r="30" spans="3:9" ht="15">
      <c r="C30" s="62"/>
      <c r="D30" s="62"/>
      <c r="H30" s="62"/>
      <c r="I30" s="62"/>
    </row>
    <row r="31" spans="3:4" ht="15">
      <c r="C31" s="62"/>
      <c r="D31" s="62"/>
    </row>
    <row r="32" ht="15">
      <c r="C32" s="62"/>
    </row>
  </sheetData>
  <sheetProtection/>
  <mergeCells count="6">
    <mergeCell ref="B3:B4"/>
    <mergeCell ref="G3:G4"/>
    <mergeCell ref="L3:L4"/>
    <mergeCell ref="B14:B15"/>
    <mergeCell ref="G14:G15"/>
    <mergeCell ref="L14:L15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97" r:id="rId1"/>
  <ignoredErrors>
    <ignoredError sqref="C11:D11 H11:I11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B3:E6"/>
  <sheetViews>
    <sheetView zoomScalePageLayoutView="0" workbookViewId="0" topLeftCell="A1">
      <selection activeCell="E3" sqref="E3:E4"/>
    </sheetView>
  </sheetViews>
  <sheetFormatPr defaultColWidth="9.140625" defaultRowHeight="15"/>
  <cols>
    <col min="3" max="3" width="23.421875" style="0" customWidth="1"/>
    <col min="4" max="4" width="23.00390625" style="0" customWidth="1"/>
    <col min="5" max="5" width="22.140625" style="0" bestFit="1" customWidth="1"/>
  </cols>
  <sheetData>
    <row r="2" ht="15.75" thickBot="1"/>
    <row r="3" spans="2:5" ht="15.75" thickTop="1">
      <c r="B3" s="168"/>
      <c r="C3" s="27" t="s">
        <v>124</v>
      </c>
      <c r="D3" s="27" t="s">
        <v>125</v>
      </c>
      <c r="E3" s="193" t="s">
        <v>125</v>
      </c>
    </row>
    <row r="4" spans="2:5" ht="15">
      <c r="B4" s="169"/>
      <c r="C4" s="26" t="s">
        <v>178</v>
      </c>
      <c r="D4" s="26" t="s">
        <v>165</v>
      </c>
      <c r="E4" s="194" t="s">
        <v>179</v>
      </c>
    </row>
    <row r="5" spans="2:5" ht="15">
      <c r="B5" s="28">
        <v>2013</v>
      </c>
      <c r="C5" s="24">
        <v>4.3292</v>
      </c>
      <c r="D5" s="25">
        <v>4.2541</v>
      </c>
      <c r="E5" s="97">
        <v>4.214</v>
      </c>
    </row>
    <row r="6" spans="2:5" ht="15.75" thickBot="1">
      <c r="B6" s="29">
        <v>2014</v>
      </c>
      <c r="C6" s="30">
        <v>4.1609</v>
      </c>
      <c r="D6" s="96">
        <v>4.167433333333333</v>
      </c>
      <c r="E6" s="31">
        <v>4.178433333333333</v>
      </c>
    </row>
    <row r="7" ht="15.75" thickTop="1"/>
  </sheetData>
  <sheetProtection/>
  <mergeCells count="1">
    <mergeCell ref="B3:B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4:F12"/>
  <sheetViews>
    <sheetView zoomScalePageLayoutView="0" workbookViewId="0" topLeftCell="A1">
      <selection activeCell="C9" sqref="C9"/>
    </sheetView>
  </sheetViews>
  <sheetFormatPr defaultColWidth="9.140625" defaultRowHeight="15"/>
  <cols>
    <col min="2" max="2" width="39.00390625" style="0" customWidth="1"/>
    <col min="3" max="3" width="13.57421875" style="0" customWidth="1"/>
    <col min="4" max="4" width="10.421875" style="0" bestFit="1" customWidth="1"/>
    <col min="5" max="5" width="12.421875" style="0" customWidth="1"/>
    <col min="6" max="6" width="12.57421875" style="0" customWidth="1"/>
  </cols>
  <sheetData>
    <row r="3" ht="15.75" thickBot="1"/>
    <row r="4" spans="2:6" ht="15.75" thickTop="1">
      <c r="B4" s="170"/>
      <c r="C4" s="195" t="s">
        <v>165</v>
      </c>
      <c r="D4" s="196" t="s">
        <v>165</v>
      </c>
      <c r="E4" s="197" t="s">
        <v>166</v>
      </c>
      <c r="F4" s="198" t="s">
        <v>166</v>
      </c>
    </row>
    <row r="5" spans="2:6" ht="15">
      <c r="B5" s="171"/>
      <c r="C5" s="199">
        <v>2014</v>
      </c>
      <c r="D5" s="200">
        <v>2013</v>
      </c>
      <c r="E5" s="201">
        <v>2014</v>
      </c>
      <c r="F5" s="202">
        <v>2013</v>
      </c>
    </row>
    <row r="6" spans="2:6" ht="15">
      <c r="B6" s="109" t="s">
        <v>117</v>
      </c>
      <c r="C6" s="113">
        <f>'Wybrane dane finansowe LUG S.A '!C9/'Wybrane dane finansowe LUG S.A '!C5</f>
        <v>-0.10119999999999992</v>
      </c>
      <c r="D6" s="113">
        <f>'Wybrane dane finansowe LUG S.A '!D9/'Wybrane dane finansowe LUG S.A '!D5</f>
        <v>-1.104662226450999</v>
      </c>
      <c r="E6" s="115">
        <f>'Wybrane dane finansowe LUG S.A '!H9/'Wybrane dane finansowe LUG S.A '!H5</f>
        <v>-0.3921212121212122</v>
      </c>
      <c r="F6" s="116">
        <f>'Wybrane dane finansowe LUG S.A '!I9/'Wybrane dane finansowe LUG S.A '!I5</f>
        <v>-1.1699735142419032</v>
      </c>
    </row>
    <row r="7" spans="2:6" ht="15">
      <c r="B7" s="110" t="s">
        <v>118</v>
      </c>
      <c r="C7" s="114">
        <f>'Wybrane dane finansowe LUG S.A '!C11/'Wybrane dane finansowe LUG S.A '!C5</f>
        <v>-0.05984444444444437</v>
      </c>
      <c r="D7" s="114">
        <f>'Wybrane dane finansowe LUG S.A '!D11/'Wybrane dane finansowe LUG S.A '!D5</f>
        <v>-1.0174119885823025</v>
      </c>
      <c r="E7" s="117">
        <f>'Wybrane dane finansowe LUG S.A '!H11/'Wybrane dane finansowe LUG S.A '!H5</f>
        <v>-0.3357272727272728</v>
      </c>
      <c r="F7" s="118">
        <f>'Wybrane dane finansowe LUG S.A '!I11/'Wybrane dane finansowe LUG S.A '!I5</f>
        <v>-1.0847544259095767</v>
      </c>
    </row>
    <row r="8" spans="2:6" ht="15">
      <c r="B8" s="109" t="s">
        <v>119</v>
      </c>
      <c r="C8" s="113">
        <f>'Wybrane dane finansowe LUG S.A '!C13/'Wybrane dane finansowe LUG S.A '!C5</f>
        <v>3.009911111111111</v>
      </c>
      <c r="D8" s="113">
        <f>'Wybrane dane finansowe LUG S.A '!D13/'Wybrane dane finansowe LUG S.A '!D5</f>
        <v>5.5536631779257855</v>
      </c>
      <c r="E8" s="115">
        <f>'Wybrane dane finansowe LUG S.A '!H13/'Wybrane dane finansowe LUG S.A '!H5</f>
        <v>1.7287272727272724</v>
      </c>
      <c r="F8" s="116">
        <f>'Wybrane dane finansowe LUG S.A '!I13/'Wybrane dane finansowe LUG S.A '!I5</f>
        <v>2.0951628641791737</v>
      </c>
    </row>
    <row r="9" spans="2:6" ht="15">
      <c r="B9" s="110" t="s">
        <v>120</v>
      </c>
      <c r="C9" s="114">
        <f>'Wybrane dane finansowe LUG S.A '!C13/('Wybrane dane finansowe LUG S.A '!C16-'Wybrane dane finansowe LUG S.A '!C24)</f>
        <v>0.02113803222751656</v>
      </c>
      <c r="D9" s="114">
        <f>'Wybrane dane finansowe LUG S.A '!D13/('Wybrane dane finansowe LUG S.A '!D16-'Wybrane dane finansowe LUG S.A '!D24)</f>
        <v>0.01860119308445698</v>
      </c>
      <c r="E9" s="117">
        <f>'Wybrane dane finansowe LUG S.A '!H13/('Wybrane dane finansowe LUG S.A '!H16-'Wybrane dane finansowe LUG S.A '!H24)</f>
        <v>0.01780609929441053</v>
      </c>
      <c r="F9" s="118">
        <f>'Wybrane dane finansowe LUG S.A '!I13/('Wybrane dane finansowe LUG S.A '!I16-'Wybrane dane finansowe LUG S.A '!I24)</f>
        <v>0.014369404926898957</v>
      </c>
    </row>
    <row r="10" spans="2:6" ht="15">
      <c r="B10" s="111" t="s">
        <v>121</v>
      </c>
      <c r="C10" s="113">
        <f>'Wybrane dane finansowe LUG S.A '!C13/'Wybrane dane finansowe LUG S.A '!C16</f>
        <v>0.02093205327484652</v>
      </c>
      <c r="D10" s="113">
        <f>'Wybrane dane finansowe LUG S.A '!D13/'Wybrane dane finansowe LUG S.A '!D16</f>
        <v>0.01837983844862311</v>
      </c>
      <c r="E10" s="115">
        <f>'Wybrane dane finansowe LUG S.A '!H13/'Wybrane dane finansowe LUG S.A '!H16</f>
        <v>0.017632588267256975</v>
      </c>
      <c r="F10" s="116">
        <f>'Wybrane dane finansowe LUG S.A '!I13/'Wybrane dane finansowe LUG S.A '!I16</f>
        <v>0.014198408669814729</v>
      </c>
    </row>
    <row r="11" spans="2:6" ht="15">
      <c r="B11" s="110" t="s">
        <v>122</v>
      </c>
      <c r="C11" s="114">
        <f>'Wybrane dane finansowe LUG S.A '!C18/'Wybrane dane finansowe LUG S.A '!C26</f>
        <v>4.92068803569332</v>
      </c>
      <c r="D11" s="114">
        <f>'Wybrane dane finansowe LUG S.A '!D18/'Wybrane dane finansowe LUG S.A '!D26</f>
        <v>4.416922761729154</v>
      </c>
      <c r="E11" s="117">
        <f>'Wybrane dane finansowe LUG S.A '!H18/'Wybrane dane finansowe LUG S.A '!H26</f>
        <v>4.92068803569332</v>
      </c>
      <c r="F11" s="118">
        <f>'Wybrane dane finansowe LUG S.A '!I18/'Wybrane dane finansowe LUG S.A '!I26</f>
        <v>4.416922761729154</v>
      </c>
    </row>
    <row r="12" spans="2:6" ht="15.75" thickBot="1">
      <c r="B12" s="112" t="s">
        <v>123</v>
      </c>
      <c r="C12" s="120">
        <f>'Wybrane dane finansowe LUG S.A '!C24/'Wybrane dane finansowe LUG S.A '!C16</f>
        <v>0.009744471502976628</v>
      </c>
      <c r="D12" s="120">
        <f>'Wybrane dane finansowe LUG S.A '!D24/'Wybrane dane finansowe LUG S.A '!D16</f>
        <v>0.011900023553802805</v>
      </c>
      <c r="E12" s="121">
        <f>'Wybrane dane finansowe LUG S.A '!H24/'Wybrane dane finansowe LUG S.A '!H16</f>
        <v>0.009744471502976628</v>
      </c>
      <c r="F12" s="122">
        <f>'Wybrane dane finansowe LUG S.A '!I24/'Wybrane dane finansowe LUG S.A '!I16</f>
        <v>0.011900023553802805</v>
      </c>
    </row>
    <row r="13" ht="15.75" thickTop="1"/>
  </sheetData>
  <sheetProtection/>
  <mergeCells count="1">
    <mergeCell ref="B4:B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</dc:creator>
  <cp:keywords/>
  <dc:description/>
  <cp:lastModifiedBy>Monika</cp:lastModifiedBy>
  <cp:lastPrinted>2014-08-07T08:54:56Z</cp:lastPrinted>
  <dcterms:created xsi:type="dcterms:W3CDTF">2013-11-04T11:55:12Z</dcterms:created>
  <dcterms:modified xsi:type="dcterms:W3CDTF">2014-08-07T13:54:16Z</dcterms:modified>
  <cp:category/>
  <cp:version/>
  <cp:contentType/>
  <cp:contentStatus/>
</cp:coreProperties>
</file>