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6915"/>
  </bookViews>
  <sheets>
    <sheet name="RZiS GK" sheetId="2" r:id="rId1"/>
    <sheet name="Sk. spr.z cał.doch.GK" sheetId="4" r:id="rId2"/>
    <sheet name="Bilans GK" sheetId="3" r:id="rId3"/>
    <sheet name="Zest.zmian w kap.wł. GK" sheetId="5" r:id="rId4"/>
    <sheet name="Rach.przep.pienięż GK" sheetId="6" r:id="rId5"/>
    <sheet name="Wybrane dane finansowe GK" sheetId="7" r:id="rId6"/>
    <sheet name="Wskaźniki finansowe GK" sheetId="8" r:id="rId7"/>
    <sheet name="Kursy walut" sheetId="9" r:id="rId8"/>
  </sheets>
  <externalReferences>
    <externalReference r:id="rId9"/>
  </externalReferences>
  <definedNames>
    <definedName name="_xlnm.Print_Area" localSheetId="5">'Wybrane dane finansowe GK'!$A$1:$G$29</definedName>
  </definedNames>
  <calcPr calcId="145621"/>
</workbook>
</file>

<file path=xl/calcChain.xml><?xml version="1.0" encoding="utf-8"?>
<calcChain xmlns="http://schemas.openxmlformats.org/spreadsheetml/2006/main">
  <c r="G23" i="7" l="1"/>
  <c r="C8" i="8" l="1"/>
  <c r="D6" i="8"/>
  <c r="C6" i="8"/>
  <c r="F17" i="7"/>
  <c r="F18" i="7"/>
  <c r="F19" i="7"/>
  <c r="F20" i="7"/>
  <c r="F21" i="7"/>
  <c r="F22" i="7"/>
  <c r="F23" i="7"/>
  <c r="F24" i="7"/>
  <c r="F25" i="7"/>
  <c r="F26" i="7"/>
  <c r="F27" i="7"/>
  <c r="F28" i="7"/>
  <c r="F16" i="7"/>
  <c r="E17" i="7"/>
  <c r="E18" i="7"/>
  <c r="E19" i="7"/>
  <c r="E21" i="7"/>
  <c r="E22" i="7"/>
  <c r="E23" i="7"/>
  <c r="E24" i="7"/>
  <c r="E25" i="7"/>
  <c r="E26" i="7"/>
  <c r="E27" i="7"/>
  <c r="E28" i="7"/>
  <c r="F6" i="7"/>
  <c r="F7" i="7"/>
  <c r="F8" i="7"/>
  <c r="F9" i="7"/>
  <c r="F10" i="7"/>
  <c r="F11" i="7"/>
  <c r="F12" i="7"/>
  <c r="F13" i="7"/>
  <c r="F5" i="7"/>
  <c r="E6" i="7"/>
  <c r="E7" i="7"/>
  <c r="E8" i="7"/>
  <c r="E9" i="7"/>
  <c r="E10" i="7"/>
  <c r="E11" i="7"/>
  <c r="E12" i="7"/>
  <c r="E13" i="7"/>
  <c r="E5" i="7"/>
  <c r="D35" i="6"/>
  <c r="C35" i="6"/>
  <c r="D33" i="6"/>
  <c r="C33" i="6"/>
  <c r="D24" i="6"/>
  <c r="C24" i="6"/>
  <c r="D19" i="6"/>
  <c r="D29" i="6" s="1"/>
  <c r="C19" i="6"/>
  <c r="C29" i="6" s="1"/>
  <c r="D17" i="6"/>
  <c r="C15" i="6"/>
  <c r="D6" i="6"/>
  <c r="C6" i="6"/>
  <c r="C5" i="6"/>
  <c r="C17" i="6" s="1"/>
  <c r="C34" i="6" l="1"/>
  <c r="D34" i="6"/>
  <c r="D48" i="3" l="1"/>
  <c r="D49" i="3"/>
  <c r="D15" i="3"/>
  <c r="D6" i="3"/>
  <c r="D5" i="3"/>
  <c r="C35" i="3" l="1"/>
  <c r="I17" i="5"/>
  <c r="J17" i="5" s="1"/>
  <c r="G17" i="5"/>
  <c r="D35" i="3"/>
  <c r="D30" i="3"/>
  <c r="C51" i="3" l="1"/>
  <c r="C17" i="3"/>
  <c r="C22" i="7"/>
  <c r="D23" i="7"/>
  <c r="C20" i="7"/>
  <c r="D20" i="7"/>
  <c r="C19" i="7"/>
  <c r="D19" i="7"/>
  <c r="C6" i="7"/>
  <c r="D6" i="7"/>
  <c r="D46" i="3"/>
  <c r="D26" i="7" s="1"/>
  <c r="D38" i="3"/>
  <c r="D25" i="7" s="1"/>
  <c r="D51" i="3"/>
  <c r="D17" i="3"/>
  <c r="D22" i="7" s="1"/>
  <c r="G19" i="7" l="1"/>
  <c r="C21" i="7"/>
  <c r="E20" i="7" s="1"/>
  <c r="H6" i="6" l="1"/>
  <c r="F6" i="6" l="1"/>
  <c r="I5" i="6" l="1"/>
  <c r="G5" i="6"/>
  <c r="I39" i="6"/>
  <c r="G39" i="6"/>
  <c r="G38" i="6"/>
  <c r="I37" i="6"/>
  <c r="G37" i="6"/>
  <c r="I36" i="6"/>
  <c r="G36" i="6"/>
  <c r="H35" i="6"/>
  <c r="F35" i="6"/>
  <c r="H33" i="6"/>
  <c r="F33" i="6"/>
  <c r="I32" i="6"/>
  <c r="G32" i="6"/>
  <c r="I31" i="6"/>
  <c r="G31" i="6"/>
  <c r="I30" i="6"/>
  <c r="G30" i="6"/>
  <c r="I28" i="6"/>
  <c r="G28" i="6"/>
  <c r="I27" i="6"/>
  <c r="G27" i="6"/>
  <c r="I26" i="6"/>
  <c r="G26" i="6"/>
  <c r="I25" i="6"/>
  <c r="G25" i="6"/>
  <c r="H24" i="6"/>
  <c r="F24" i="6"/>
  <c r="I23" i="6"/>
  <c r="G23" i="6"/>
  <c r="I22" i="6"/>
  <c r="G22" i="6"/>
  <c r="I21" i="6"/>
  <c r="G21" i="6"/>
  <c r="I20" i="6"/>
  <c r="G20" i="6"/>
  <c r="H19" i="6"/>
  <c r="F19" i="6"/>
  <c r="I18" i="6"/>
  <c r="G18" i="6"/>
  <c r="I16" i="6"/>
  <c r="G16" i="6"/>
  <c r="I15" i="6"/>
  <c r="G15" i="6"/>
  <c r="I14" i="6"/>
  <c r="G14" i="6"/>
  <c r="I13" i="6"/>
  <c r="G13" i="6"/>
  <c r="I12" i="6"/>
  <c r="G12" i="6"/>
  <c r="I11" i="6"/>
  <c r="G11" i="6"/>
  <c r="I10" i="6"/>
  <c r="G10" i="6"/>
  <c r="I9" i="6"/>
  <c r="G9" i="6"/>
  <c r="I8" i="6"/>
  <c r="G8" i="6"/>
  <c r="I7" i="6"/>
  <c r="G7" i="6"/>
  <c r="F17" i="6"/>
  <c r="H29" i="6" l="1"/>
  <c r="H17" i="6"/>
  <c r="F29" i="6"/>
  <c r="H34" i="6" l="1"/>
  <c r="F34" i="6"/>
  <c r="I38" i="6"/>
  <c r="I6" i="6"/>
  <c r="I14" i="5"/>
  <c r="J14" i="5" s="1"/>
  <c r="I13" i="5"/>
  <c r="I12" i="5"/>
  <c r="I11" i="5"/>
  <c r="I10" i="5"/>
  <c r="D28" i="3" l="1"/>
  <c r="D29" i="2"/>
  <c r="D7" i="2"/>
  <c r="D4" i="2"/>
  <c r="D5" i="7" s="1"/>
  <c r="D27" i="7" l="1"/>
  <c r="D56" i="3"/>
  <c r="D10" i="2"/>
  <c r="D17" i="2" l="1"/>
  <c r="D7" i="7"/>
  <c r="G28" i="7"/>
  <c r="D24" i="7"/>
  <c r="D21" i="7"/>
  <c r="G22" i="7"/>
  <c r="G20" i="7"/>
  <c r="G6" i="7"/>
  <c r="I35" i="6"/>
  <c r="G35" i="6"/>
  <c r="I33" i="6"/>
  <c r="G33" i="6"/>
  <c r="I24" i="6"/>
  <c r="G24" i="6"/>
  <c r="I19" i="6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H20" i="5"/>
  <c r="H27" i="5" s="1"/>
  <c r="F8" i="5" s="1"/>
  <c r="F15" i="5" s="1"/>
  <c r="G20" i="5"/>
  <c r="G27" i="5" s="1"/>
  <c r="F20" i="5"/>
  <c r="F27" i="5" s="1"/>
  <c r="E20" i="5"/>
  <c r="E27" i="5" s="1"/>
  <c r="D20" i="5"/>
  <c r="D27" i="5" s="1"/>
  <c r="D5" i="5" s="1"/>
  <c r="D8" i="5" s="1"/>
  <c r="D15" i="5" s="1"/>
  <c r="C20" i="5"/>
  <c r="C27" i="5" s="1"/>
  <c r="C5" i="5" s="1"/>
  <c r="J19" i="5"/>
  <c r="J20" i="5" s="1"/>
  <c r="J18" i="5"/>
  <c r="J12" i="5"/>
  <c r="H8" i="5"/>
  <c r="H15" i="5" s="1"/>
  <c r="E8" i="5"/>
  <c r="E15" i="5" s="1"/>
  <c r="C46" i="3"/>
  <c r="C26" i="7" s="1"/>
  <c r="G26" i="7" s="1"/>
  <c r="C38" i="3"/>
  <c r="C25" i="7" s="1"/>
  <c r="C28" i="3"/>
  <c r="C13" i="3"/>
  <c r="C18" i="7" s="1"/>
  <c r="D13" i="3"/>
  <c r="D18" i="7" s="1"/>
  <c r="D4" i="3"/>
  <c r="D17" i="7" s="1"/>
  <c r="C4" i="3"/>
  <c r="C17" i="7" s="1"/>
  <c r="E16" i="7" s="1"/>
  <c r="C7" i="2"/>
  <c r="C4" i="2"/>
  <c r="C5" i="7" s="1"/>
  <c r="G5" i="7" s="1"/>
  <c r="G18" i="7" l="1"/>
  <c r="G5" i="5"/>
  <c r="G8" i="5" s="1"/>
  <c r="G15" i="5" s="1"/>
  <c r="D21" i="2"/>
  <c r="D9" i="7"/>
  <c r="D11" i="7" s="1"/>
  <c r="D16" i="7"/>
  <c r="C24" i="7"/>
  <c r="G24" i="7" s="1"/>
  <c r="G25" i="7"/>
  <c r="C27" i="7"/>
  <c r="G27" i="7" s="1"/>
  <c r="C16" i="7"/>
  <c r="G16" i="7" s="1"/>
  <c r="G17" i="7"/>
  <c r="G29" i="6"/>
  <c r="G19" i="6"/>
  <c r="G6" i="6"/>
  <c r="I29" i="6"/>
  <c r="I17" i="6"/>
  <c r="C56" i="3"/>
  <c r="I20" i="5"/>
  <c r="I27" i="5" s="1"/>
  <c r="J27" i="5" s="1"/>
  <c r="C24" i="3"/>
  <c r="C10" i="2"/>
  <c r="C7" i="7" s="1"/>
  <c r="D24" i="3"/>
  <c r="I5" i="5"/>
  <c r="C8" i="5"/>
  <c r="C15" i="5" s="1"/>
  <c r="D57" i="3"/>
  <c r="D30" i="2"/>
  <c r="D34" i="2"/>
  <c r="D33" i="2"/>
  <c r="D32" i="2"/>
  <c r="D31" i="2"/>
  <c r="D26" i="2" l="1"/>
  <c r="D4" i="4" s="1"/>
  <c r="D11" i="4" s="1"/>
  <c r="D13" i="4" s="1"/>
  <c r="D10" i="7"/>
  <c r="D12" i="7" s="1"/>
  <c r="D13" i="7" s="1"/>
  <c r="G8" i="7"/>
  <c r="G7" i="7"/>
  <c r="C17" i="2"/>
  <c r="C21" i="2" s="1"/>
  <c r="C24" i="2" s="1"/>
  <c r="G17" i="6"/>
  <c r="G34" i="6"/>
  <c r="I34" i="6"/>
  <c r="C57" i="3"/>
  <c r="G21" i="7"/>
  <c r="I8" i="5"/>
  <c r="I15" i="5" s="1"/>
  <c r="J5" i="5"/>
  <c r="J8" i="5" s="1"/>
  <c r="J15" i="5" s="1"/>
  <c r="C26" i="2" l="1"/>
  <c r="C4" i="4" s="1"/>
  <c r="C11" i="4" s="1"/>
  <c r="C13" i="4" s="1"/>
  <c r="C10" i="7"/>
  <c r="C9" i="7"/>
  <c r="D12" i="8"/>
  <c r="C12" i="8"/>
  <c r="D11" i="8"/>
  <c r="C11" i="8"/>
  <c r="D10" i="8"/>
  <c r="D9" i="8"/>
  <c r="D8" i="8"/>
  <c r="D7" i="8"/>
  <c r="C12" i="7" l="1"/>
  <c r="G10" i="7"/>
  <c r="C11" i="7"/>
  <c r="G9" i="7"/>
  <c r="C27" i="2"/>
  <c r="C34" i="2" s="1"/>
  <c r="C33" i="2" l="1"/>
  <c r="C31" i="2"/>
  <c r="C32" i="2"/>
  <c r="C30" i="2"/>
  <c r="C29" i="2"/>
  <c r="C13" i="7"/>
  <c r="G12" i="7"/>
  <c r="G11" i="7"/>
  <c r="C7" i="8"/>
  <c r="G13" i="7" l="1"/>
  <c r="C10" i="8"/>
  <c r="C9" i="8"/>
</calcChain>
</file>

<file path=xl/sharedStrings.xml><?xml version="1.0" encoding="utf-8"?>
<sst xmlns="http://schemas.openxmlformats.org/spreadsheetml/2006/main" count="236" uniqueCount="179">
  <si>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</si>
  <si>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</si>
  <si>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</si>
  <si>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</si>
  <si>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</si>
  <si>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</si>
  <si>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</si>
  <si>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</si>
  <si>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</si>
  <si>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</si>
  <si>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</si>
  <si>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</si>
  <si>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</si>
  <si>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</si>
  <si>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</si>
  <si>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</si>
  <si>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</si>
  <si>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</si>
  <si>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</si>
  <si>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</si>
  <si>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</si>
  <si>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</si>
  <si>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</si>
  <si>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</si>
  <si>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</si>
  <si>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</si>
  <si>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</si>
  <si>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</si>
  <si>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Zysk (strata) netto na jedną akcję z działalności zaniechanej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</si>
  <si>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</si>
  <si>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</si>
  <si>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</si>
  <si>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</si>
  <si>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</si>
  <si>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</si>
  <si>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</si>
  <si>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</si>
  <si>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</si>
  <si>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</si>
  <si>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</si>
  <si>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</si>
  <si>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</si>
  <si>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</si>
  <si>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</si>
  <si>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</si>
  <si>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</si>
  <si>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</si>
  <si>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</si>
  <si>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</si>
  <si>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</si>
  <si>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</si>
  <si>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</si>
  <si>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</si>
  <si>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</si>
  <si>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</si>
  <si>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</si>
  <si>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</si>
  <si>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</si>
  <si>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</si>
  <si>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</si>
  <si>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</si>
  <si>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</si>
  <si>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</si>
  <si>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</si>
  <si>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</si>
  <si>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</si>
  <si>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</si>
  <si>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</si>
  <si>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</si>
  <si>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</si>
  <si>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</si>
  <si>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</si>
  <si>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</si>
  <si>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</si>
  <si>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</si>
  <si>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</si>
  <si>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</si>
  <si>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</si>
  <si>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</si>
  <si>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</si>
  <si>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</si>
  <si>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</si>
  <si>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</si>
  <si>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</si>
  <si>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</si>
  <si>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</si>
  <si>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</si>
  <si>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</si>
  <si>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</si>
  <si>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</si>
  <si>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</si>
  <si>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</si>
  <si>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</si>
  <si>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</si>
  <si>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</si>
  <si>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</si>
  <si>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</si>
  <si>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</si>
  <si>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</si>
  <si>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</si>
  <si>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</si>
  <si>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</si>
  <si>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</si>
  <si>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</si>
  <si>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</si>
  <si>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</si>
  <si>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</si>
  <si>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</si>
  <si>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</si>
  <si>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</si>
  <si>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</si>
  <si>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</si>
  <si>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</si>
  <si>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</si>
  <si>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</si>
  <si>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</si>
  <si>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</si>
  <si>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</si>
  <si>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</si>
  <si>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</si>
  <si>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</si>
  <si>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</si>
  <si>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</si>
  <si>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</si>
  <si>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</si>
  <si>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</si>
  <si>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F. Środki pieniężne na początek okresu</t>
  </si>
  <si>
    <t>A. DZIAŁALNOŚĆ OPERACYJNA</t>
  </si>
  <si>
    <t>B. DZIAŁALNOŚĆ INWESTYCYJNA</t>
  </si>
  <si>
    <t>I. Wpływy</t>
  </si>
  <si>
    <t>II. Wydatki</t>
  </si>
  <si>
    <t>C. DZIAŁALNOŚĆ FINANSOWA</t>
  </si>
  <si>
    <t>I. Zysk (strata) przed opodatkowaniem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</si>
  <si>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</si>
  <si>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</si>
  <si>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</si>
  <si>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</si>
  <si>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</si>
  <si>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</si>
  <si>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</si>
  <si>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</si>
  <si>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</si>
  <si>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</si>
  <si>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</si>
  <si>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</si>
  <si>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1. Zbycie wartości niematerialnych i prawnych oraz rzeczowych aktywów trwałych</t>
  </si>
  <si>
    <t>2. Zbycie inwestycji w nieruchomości oraz wartości niematerialne i prawne</t>
  </si>
  <si>
    <t>3. Z aktywów finansowych</t>
  </si>
  <si>
    <t>4. Inne wpływy inwestycyjne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</si>
  <si>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</si>
  <si>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</si>
  <si>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</si>
  <si>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</si>
  <si>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</si>
  <si>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</si>
  <si>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</si>
  <si>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</si>
  <si>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G. Środki pieniężne na koniec okresu (F+D), w tym</t>
  </si>
  <si>
    <t>– o ograniczonej mozliwości dysponowania</t>
  </si>
  <si>
    <t>za okres 01.01.2013 - 30.09.2013</t>
  </si>
  <si>
    <t>sam kwartał 4/2013</t>
  </si>
  <si>
    <t>za okres 01.01.2012 - 30.09.2012</t>
  </si>
  <si>
    <t>sam kwartał 4/2012</t>
  </si>
  <si>
    <t>3. Na aktywa finansowe</t>
  </si>
  <si>
    <t>za okres 01.01.2014 - 31.03.2014</t>
  </si>
  <si>
    <t>za okres 01.01.2013 - 31.03.2013</t>
  </si>
  <si>
    <t>1Q</t>
  </si>
  <si>
    <t>2014 PLN</t>
  </si>
  <si>
    <t>2014 EUR</t>
  </si>
  <si>
    <t>stan na 31.03.2014 r.</t>
  </si>
  <si>
    <t>stan na 31.03.2013 r.</t>
  </si>
  <si>
    <t>trzy miesiące zakończone - 31.03.2014 r.</t>
  </si>
  <si>
    <t>trzy miesiące zakończone - 31.03.2013 r.</t>
  </si>
  <si>
    <t>Kapitał własny na dzień  01.01.2014 r.</t>
  </si>
  <si>
    <t>Kapitał własny na dzień  31.03.2014 r.</t>
  </si>
  <si>
    <t>Kapitał własny na dzień  01.01.2013 r.</t>
  </si>
  <si>
    <t>Kapitał własny na dzień  31.03.2013 r.</t>
  </si>
  <si>
    <t>31.03.</t>
  </si>
  <si>
    <t>(31.03.)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</si>
</sst>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9"/>
      <color rgb="FFC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1">
    <border>
      <left/>
      <right/>
      <top/>
      <bottom/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double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double">
        <color rgb="FF808080"/>
      </top>
      <bottom style="thin">
        <color rgb="FF808080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uble">
        <color rgb="FF808080"/>
      </right>
      <top style="double">
        <color rgb="FF808080"/>
      </top>
      <bottom style="thin">
        <color rgb="FF808080"/>
      </bottom>
      <diagonal/>
    </border>
    <border>
      <left/>
      <right/>
      <top style="double">
        <color rgb="FF808080"/>
      </top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double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/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thin">
        <color theme="0" tint="-0.499984740745262"/>
      </bottom>
      <diagonal/>
    </border>
    <border>
      <left/>
      <right style="double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double">
        <color rgb="FF808080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thin">
        <color rgb="FF808080"/>
      </left>
      <right style="double">
        <color theme="0" tint="-0.499984740745262"/>
      </right>
      <top/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double">
        <color theme="0" tint="-0.499984740745262"/>
      </right>
      <top style="thin">
        <color rgb="FF808080"/>
      </top>
      <bottom style="double">
        <color rgb="FF808080"/>
      </bottom>
      <diagonal/>
    </border>
    <border>
      <left style="double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/>
      <right style="double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/>
      <right style="double">
        <color rgb="FF808080"/>
      </right>
      <top style="double">
        <color rgb="FF808080"/>
      </top>
      <bottom/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/>
      <diagonal/>
    </border>
    <border>
      <left style="thin">
        <color theme="1" tint="0.499984740745262"/>
      </left>
      <right style="double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uble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808080"/>
      </right>
      <top style="double">
        <color rgb="FF808080"/>
      </top>
      <bottom/>
      <diagonal/>
    </border>
    <border>
      <left style="thin">
        <color rgb="FF808080"/>
      </left>
      <right style="medium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185">
    <xf numFmtId="0" fontId="0" fillId="0" borderId="0" xfId="0"/>
    <xf numFmtId="49" fontId="3" fillId="3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5" fillId="3" borderId="2" xfId="2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justify" wrapText="1"/>
    </xf>
    <xf numFmtId="49" fontId="3" fillId="3" borderId="2" xfId="2" applyNumberFormat="1" applyFont="1" applyFill="1" applyBorder="1" applyAlignment="1">
      <alignment horizontal="left" vertical="center" wrapText="1"/>
    </xf>
    <xf numFmtId="49" fontId="3" fillId="3" borderId="5" xfId="2" applyNumberFormat="1" applyFont="1" applyFill="1" applyBorder="1" applyAlignment="1">
      <alignment horizontal="left" vertical="center" wrapText="1"/>
    </xf>
    <xf numFmtId="49" fontId="3" fillId="4" borderId="2" xfId="2" applyNumberFormat="1" applyFont="1" applyFill="1" applyBorder="1" applyAlignment="1">
      <alignment vertical="center" wrapText="1"/>
    </xf>
    <xf numFmtId="0" fontId="3" fillId="4" borderId="2" xfId="0" applyFont="1" applyFill="1" applyBorder="1"/>
    <xf numFmtId="49" fontId="3" fillId="4" borderId="5" xfId="2" applyNumberFormat="1" applyFont="1" applyFill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2" applyFont="1" applyBorder="1"/>
    <xf numFmtId="0" fontId="4" fillId="3" borderId="5" xfId="2" applyFont="1" applyFill="1" applyBorder="1"/>
    <xf numFmtId="4" fontId="4" fillId="0" borderId="2" xfId="0" applyNumberFormat="1" applyFont="1" applyFill="1" applyBorder="1" applyAlignment="1" applyProtection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left" vertical="center"/>
    </xf>
    <xf numFmtId="4" fontId="3" fillId="4" borderId="2" xfId="0" applyNumberFormat="1" applyFont="1" applyFill="1" applyBorder="1" applyAlignment="1" applyProtection="1">
      <alignment horizontal="left" vertical="center" wrapText="1"/>
    </xf>
    <xf numFmtId="0" fontId="8" fillId="4" borderId="20" xfId="0" applyFont="1" applyFill="1" applyBorder="1" applyAlignment="1">
      <alignment horizontal="center" vertical="top"/>
    </xf>
    <xf numFmtId="0" fontId="4" fillId="0" borderId="5" xfId="2" applyFont="1" applyBorder="1"/>
    <xf numFmtId="0" fontId="8" fillId="4" borderId="22" xfId="0" applyFont="1" applyFill="1" applyBorder="1" applyAlignment="1">
      <alignment horizontal="center"/>
    </xf>
    <xf numFmtId="10" fontId="7" fillId="5" borderId="19" xfId="0" applyNumberFormat="1" applyFont="1" applyFill="1" applyBorder="1" applyAlignment="1">
      <alignment horizontal="center" vertical="center"/>
    </xf>
    <xf numFmtId="10" fontId="7" fillId="0" borderId="19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5" borderId="32" xfId="0" applyFont="1" applyFill="1" applyBorder="1" applyAlignment="1">
      <alignment horizontal="justify" vertical="center"/>
    </xf>
    <xf numFmtId="0" fontId="6" fillId="0" borderId="32" xfId="0" applyFont="1" applyFill="1" applyBorder="1" applyAlignment="1">
      <alignment horizontal="justify" vertical="center"/>
    </xf>
    <xf numFmtId="0" fontId="6" fillId="5" borderId="32" xfId="0" applyFont="1" applyFill="1" applyBorder="1" applyAlignment="1">
      <alignment horizontal="justify"/>
    </xf>
    <xf numFmtId="0" fontId="6" fillId="5" borderId="34" xfId="0" applyFont="1" applyFill="1" applyBorder="1" applyAlignment="1">
      <alignment horizontal="justify" vertical="center"/>
    </xf>
    <xf numFmtId="10" fontId="7" fillId="5" borderId="35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0" fontId="3" fillId="4" borderId="24" xfId="4" applyFont="1" applyFill="1" applyBorder="1" applyAlignment="1">
      <alignment horizontal="left" vertical="center" wrapText="1"/>
    </xf>
    <xf numFmtId="0" fontId="3" fillId="0" borderId="24" xfId="4" applyFont="1" applyFill="1" applyBorder="1" applyAlignment="1">
      <alignment vertical="center" wrapText="1"/>
    </xf>
    <xf numFmtId="0" fontId="4" fillId="0" borderId="24" xfId="4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center" vertical="top"/>
    </xf>
    <xf numFmtId="0" fontId="3" fillId="4" borderId="24" xfId="4" applyFont="1" applyFill="1" applyBorder="1" applyAlignment="1">
      <alignment vertical="center" wrapText="1"/>
    </xf>
    <xf numFmtId="0" fontId="4" fillId="0" borderId="24" xfId="4" applyFont="1" applyFill="1" applyBorder="1" applyAlignment="1">
      <alignment horizontal="left" vertical="center" wrapText="1" indent="8"/>
    </xf>
    <xf numFmtId="0" fontId="4" fillId="0" borderId="26" xfId="4" applyFont="1" applyFill="1" applyBorder="1" applyAlignment="1">
      <alignment horizontal="left" vertical="center" wrapText="1" indent="8"/>
    </xf>
    <xf numFmtId="4" fontId="4" fillId="0" borderId="4" xfId="2" applyNumberFormat="1" applyFont="1" applyFill="1" applyBorder="1" applyAlignment="1">
      <alignment horizontal="right" vertical="center" wrapText="1"/>
    </xf>
    <xf numFmtId="0" fontId="14" fillId="0" borderId="0" xfId="0" applyFont="1"/>
    <xf numFmtId="4" fontId="4" fillId="0" borderId="3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horizontal="right" vertical="center" wrapText="1"/>
    </xf>
    <xf numFmtId="4" fontId="3" fillId="4" borderId="7" xfId="2" applyNumberFormat="1" applyFont="1" applyFill="1" applyBorder="1" applyAlignment="1">
      <alignment horizontal="right" vertical="center" wrapText="1"/>
    </xf>
    <xf numFmtId="4" fontId="3" fillId="4" borderId="4" xfId="2" applyNumberFormat="1" applyFont="1" applyFill="1" applyBorder="1" applyAlignment="1">
      <alignment vertical="center" wrapText="1"/>
    </xf>
    <xf numFmtId="4" fontId="4" fillId="0" borderId="4" xfId="2" applyNumberFormat="1" applyFont="1" applyFill="1" applyBorder="1" applyAlignment="1">
      <alignment vertical="center" wrapText="1"/>
    </xf>
    <xf numFmtId="4" fontId="4" fillId="0" borderId="7" xfId="2" applyNumberFormat="1" applyFont="1" applyBorder="1"/>
    <xf numFmtId="4" fontId="14" fillId="0" borderId="0" xfId="0" applyNumberFormat="1" applyFont="1"/>
    <xf numFmtId="4" fontId="3" fillId="4" borderId="3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4" fontId="3" fillId="4" borderId="6" xfId="0" applyNumberFormat="1" applyFont="1" applyFill="1" applyBorder="1" applyAlignment="1" applyProtection="1">
      <alignment horizontal="right" vertical="center"/>
    </xf>
    <xf numFmtId="4" fontId="4" fillId="0" borderId="4" xfId="0" applyNumberFormat="1" applyFont="1" applyFill="1" applyBorder="1" applyAlignment="1" applyProtection="1">
      <alignment horizontal="right" vertical="center"/>
    </xf>
    <xf numFmtId="4" fontId="3" fillId="4" borderId="4" xfId="0" applyNumberFormat="1" applyFont="1" applyFill="1" applyBorder="1" applyAlignment="1" applyProtection="1">
      <alignment horizontal="right" vertical="center"/>
    </xf>
    <xf numFmtId="4" fontId="3" fillId="4" borderId="7" xfId="0" applyNumberFormat="1" applyFont="1" applyFill="1" applyBorder="1" applyAlignment="1" applyProtection="1">
      <alignment horizontal="right" vertical="center"/>
    </xf>
    <xf numFmtId="43" fontId="9" fillId="0" borderId="0" xfId="0" applyNumberFormat="1" applyFont="1" applyFill="1" applyBorder="1" applyAlignment="1">
      <alignment horizontal="center"/>
    </xf>
    <xf numFmtId="43" fontId="0" fillId="0" borderId="0" xfId="0" applyNumberFormat="1"/>
    <xf numFmtId="0" fontId="3" fillId="2" borderId="41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11" fillId="4" borderId="43" xfId="0" applyFont="1" applyFill="1" applyBorder="1"/>
    <xf numFmtId="0" fontId="0" fillId="7" borderId="44" xfId="0" applyFill="1" applyBorder="1"/>
    <xf numFmtId="4" fontId="4" fillId="0" borderId="45" xfId="3" applyNumberFormat="1" applyFont="1" applyBorder="1" applyAlignment="1">
      <alignment horizontal="center" vertical="center"/>
    </xf>
    <xf numFmtId="4" fontId="0" fillId="7" borderId="46" xfId="0" applyNumberFormat="1" applyFill="1" applyBorder="1"/>
    <xf numFmtId="43" fontId="3" fillId="0" borderId="47" xfId="3" applyFont="1" applyFill="1" applyBorder="1" applyAlignment="1">
      <alignment vertical="center" wrapText="1"/>
    </xf>
    <xf numFmtId="43" fontId="4" fillId="0" borderId="45" xfId="3" applyFont="1" applyFill="1" applyBorder="1" applyAlignment="1">
      <alignment horizontal="right" vertical="center"/>
    </xf>
    <xf numFmtId="43" fontId="4" fillId="0" borderId="45" xfId="3" applyFont="1" applyBorder="1" applyAlignment="1">
      <alignment horizontal="right" vertical="center"/>
    </xf>
    <xf numFmtId="43" fontId="3" fillId="4" borderId="47" xfId="3" applyFont="1" applyFill="1" applyBorder="1" applyAlignment="1">
      <alignment vertical="center" wrapText="1"/>
    </xf>
    <xf numFmtId="43" fontId="4" fillId="4" borderId="45" xfId="3" applyFont="1" applyFill="1" applyBorder="1" applyAlignment="1">
      <alignment vertical="center"/>
    </xf>
    <xf numFmtId="43" fontId="4" fillId="0" borderId="45" xfId="3" applyFont="1" applyBorder="1" applyAlignment="1">
      <alignment vertical="center"/>
    </xf>
    <xf numFmtId="43" fontId="4" fillId="0" borderId="45" xfId="3" applyFont="1" applyBorder="1"/>
    <xf numFmtId="43" fontId="4" fillId="4" borderId="45" xfId="3" applyFont="1" applyFill="1" applyBorder="1"/>
    <xf numFmtId="43" fontId="3" fillId="4" borderId="47" xfId="3" applyFont="1" applyFill="1" applyBorder="1" applyAlignment="1">
      <alignment horizontal="left" vertical="center" wrapText="1"/>
    </xf>
    <xf numFmtId="43" fontId="3" fillId="4" borderId="45" xfId="3" applyFont="1" applyFill="1" applyBorder="1" applyAlignment="1">
      <alignment vertical="center"/>
    </xf>
    <xf numFmtId="43" fontId="4" fillId="0" borderId="48" xfId="3" applyFont="1" applyBorder="1" applyAlignment="1">
      <alignment vertical="center"/>
    </xf>
    <xf numFmtId="43" fontId="14" fillId="0" borderId="0" xfId="0" applyNumberFormat="1" applyFont="1"/>
    <xf numFmtId="4" fontId="7" fillId="0" borderId="18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4" fontId="7" fillId="5" borderId="21" xfId="0" applyNumberFormat="1" applyFont="1" applyFill="1" applyBorder="1" applyAlignment="1">
      <alignment horizontal="right" vertical="center"/>
    </xf>
    <xf numFmtId="4" fontId="7" fillId="5" borderId="18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4" fontId="5" fillId="3" borderId="10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Border="1" applyAlignment="1">
      <alignment horizontal="right"/>
    </xf>
    <xf numFmtId="0" fontId="15" fillId="0" borderId="0" xfId="0" applyFont="1"/>
    <xf numFmtId="43" fontId="12" fillId="0" borderId="0" xfId="0" applyNumberFormat="1" applyFont="1"/>
    <xf numFmtId="4" fontId="3" fillId="3" borderId="8" xfId="2" applyNumberFormat="1" applyFont="1" applyFill="1" applyBorder="1" applyAlignment="1">
      <alignment horizontal="right" vertical="center" wrapText="1"/>
    </xf>
    <xf numFmtId="4" fontId="3" fillId="3" borderId="3" xfId="2" applyNumberFormat="1" applyFont="1" applyFill="1" applyBorder="1" applyAlignment="1">
      <alignment horizontal="right" vertical="center" wrapText="1"/>
    </xf>
    <xf numFmtId="4" fontId="4" fillId="0" borderId="10" xfId="2" applyNumberFormat="1" applyFont="1" applyFill="1" applyBorder="1" applyAlignment="1">
      <alignment horizontal="right" vertical="center" wrapText="1"/>
    </xf>
    <xf numFmtId="4" fontId="3" fillId="6" borderId="3" xfId="2" applyNumberFormat="1" applyFont="1" applyFill="1" applyBorder="1" applyAlignment="1">
      <alignment horizontal="right" vertical="center" wrapText="1"/>
    </xf>
    <xf numFmtId="4" fontId="3" fillId="3" borderId="6" xfId="2" applyNumberFormat="1" applyFont="1" applyFill="1" applyBorder="1" applyAlignment="1" applyProtection="1">
      <alignment horizontal="right" vertical="center" wrapText="1"/>
      <protection locked="0"/>
    </xf>
    <xf numFmtId="4" fontId="5" fillId="3" borderId="6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horizontal="right" vertical="center" wrapText="1"/>
    </xf>
    <xf numFmtId="4" fontId="3" fillId="4" borderId="6" xfId="2" applyNumberFormat="1" applyFont="1" applyFill="1" applyBorder="1" applyAlignment="1">
      <alignment horizontal="right" vertical="center" wrapText="1"/>
    </xf>
    <xf numFmtId="4" fontId="3" fillId="4" borderId="3" xfId="2" applyNumberFormat="1" applyFont="1" applyFill="1" applyBorder="1" applyAlignment="1">
      <alignment vertical="center" wrapText="1"/>
    </xf>
    <xf numFmtId="4" fontId="4" fillId="0" borderId="3" xfId="2" applyNumberFormat="1" applyFont="1" applyFill="1" applyBorder="1" applyAlignment="1">
      <alignment vertical="center" wrapText="1"/>
    </xf>
    <xf numFmtId="4" fontId="4" fillId="0" borderId="6" xfId="2" applyNumberFormat="1" applyFont="1" applyBorder="1"/>
    <xf numFmtId="4" fontId="3" fillId="0" borderId="0" xfId="2" applyNumberFormat="1" applyFont="1" applyFill="1" applyBorder="1" applyAlignment="1">
      <alignment horizontal="right" vertical="center" wrapText="1"/>
    </xf>
    <xf numFmtId="0" fontId="3" fillId="8" borderId="11" xfId="2" applyFont="1" applyFill="1" applyBorder="1" applyAlignment="1">
      <alignment horizontal="center" vertical="center" wrapText="1"/>
    </xf>
    <xf numFmtId="0" fontId="3" fillId="8" borderId="14" xfId="2" applyFont="1" applyFill="1" applyBorder="1" applyAlignment="1">
      <alignment horizontal="center" vertical="center" wrapText="1"/>
    </xf>
    <xf numFmtId="0" fontId="3" fillId="8" borderId="25" xfId="2" applyFont="1" applyFill="1" applyBorder="1" applyAlignment="1">
      <alignment horizontal="center" vertical="center" wrapText="1"/>
    </xf>
    <xf numFmtId="4" fontId="3" fillId="3" borderId="49" xfId="2" applyNumberFormat="1" applyFont="1" applyFill="1" applyBorder="1" applyAlignment="1">
      <alignment horizontal="right" vertical="center" wrapText="1"/>
    </xf>
    <xf numFmtId="4" fontId="4" fillId="0" borderId="50" xfId="2" applyNumberFormat="1" applyFont="1" applyFill="1" applyBorder="1" applyAlignment="1">
      <alignment horizontal="right" vertical="center" wrapText="1"/>
    </xf>
    <xf numFmtId="4" fontId="3" fillId="3" borderId="50" xfId="2" applyNumberFormat="1" applyFont="1" applyFill="1" applyBorder="1" applyAlignment="1">
      <alignment horizontal="right" vertical="center" wrapText="1"/>
    </xf>
    <xf numFmtId="4" fontId="3" fillId="6" borderId="50" xfId="2" applyNumberFormat="1" applyFont="1" applyFill="1" applyBorder="1" applyAlignment="1">
      <alignment horizontal="right" vertical="center" wrapText="1"/>
    </xf>
    <xf numFmtId="4" fontId="3" fillId="3" borderId="51" xfId="2" applyNumberFormat="1" applyFont="1" applyFill="1" applyBorder="1" applyAlignment="1" applyProtection="1">
      <alignment horizontal="right" vertical="center" wrapText="1"/>
      <protection locked="0"/>
    </xf>
    <xf numFmtId="49" fontId="3" fillId="0" borderId="52" xfId="2" applyNumberFormat="1" applyFont="1" applyFill="1" applyBorder="1" applyAlignment="1">
      <alignment horizontal="left" vertical="center" wrapText="1"/>
    </xf>
    <xf numFmtId="0" fontId="3" fillId="8" borderId="1" xfId="2" applyFont="1" applyFill="1" applyBorder="1" applyAlignment="1">
      <alignment horizontal="center" vertical="center" wrapText="1"/>
    </xf>
    <xf numFmtId="4" fontId="5" fillId="3" borderId="53" xfId="2" applyNumberFormat="1" applyFont="1" applyFill="1" applyBorder="1" applyAlignment="1">
      <alignment horizontal="right" vertical="center" wrapText="1"/>
    </xf>
    <xf numFmtId="4" fontId="4" fillId="0" borderId="53" xfId="2" applyNumberFormat="1" applyFont="1" applyBorder="1" applyAlignment="1">
      <alignment horizontal="right"/>
    </xf>
    <xf numFmtId="4" fontId="5" fillId="3" borderId="51" xfId="2" applyNumberFormat="1" applyFont="1" applyFill="1" applyBorder="1" applyAlignment="1">
      <alignment horizontal="right" vertical="center" wrapText="1"/>
    </xf>
    <xf numFmtId="0" fontId="3" fillId="8" borderId="8" xfId="2" applyFont="1" applyFill="1" applyBorder="1" applyAlignment="1">
      <alignment horizontal="center" vertical="center" wrapText="1"/>
    </xf>
    <xf numFmtId="0" fontId="3" fillId="8" borderId="9" xfId="2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8" xfId="2" applyNumberFormat="1" applyFont="1" applyFill="1" applyBorder="1" applyAlignment="1">
      <alignment horizontal="center" vertical="center" wrapText="1"/>
    </xf>
    <xf numFmtId="49" fontId="3" fillId="8" borderId="9" xfId="2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left" vertical="center" wrapText="1"/>
    </xf>
    <xf numFmtId="0" fontId="4" fillId="8" borderId="23" xfId="0" applyFont="1" applyFill="1" applyBorder="1"/>
    <xf numFmtId="2" fontId="3" fillId="4" borderId="39" xfId="4" applyNumberFormat="1" applyFont="1" applyFill="1" applyBorder="1" applyAlignment="1">
      <alignment vertical="center" wrapText="1"/>
    </xf>
    <xf numFmtId="2" fontId="3" fillId="0" borderId="39" xfId="3" applyNumberFormat="1" applyFont="1" applyFill="1" applyBorder="1" applyAlignment="1">
      <alignment vertical="center" wrapText="1"/>
    </xf>
    <xf numFmtId="2" fontId="4" fillId="0" borderId="39" xfId="3" applyNumberFormat="1" applyFont="1" applyFill="1" applyBorder="1" applyAlignment="1">
      <alignment vertical="center" wrapText="1"/>
    </xf>
    <xf numFmtId="2" fontId="3" fillId="4" borderId="39" xfId="3" applyNumberFormat="1" applyFont="1" applyFill="1" applyBorder="1" applyAlignment="1">
      <alignment vertical="center" wrapText="1"/>
    </xf>
    <xf numFmtId="2" fontId="3" fillId="4" borderId="25" xfId="3" applyNumberFormat="1" applyFont="1" applyFill="1" applyBorder="1" applyAlignment="1">
      <alignment vertical="center"/>
    </xf>
    <xf numFmtId="2" fontId="4" fillId="0" borderId="40" xfId="3" applyNumberFormat="1" applyFont="1" applyFill="1" applyBorder="1" applyAlignment="1">
      <alignment vertical="center" wrapText="1"/>
    </xf>
    <xf numFmtId="2" fontId="3" fillId="4" borderId="14" xfId="3" applyNumberFormat="1" applyFont="1" applyFill="1" applyBorder="1" applyAlignment="1">
      <alignment vertical="center"/>
    </xf>
    <xf numFmtId="2" fontId="3" fillId="4" borderId="25" xfId="4" applyNumberFormat="1" applyFont="1" applyFill="1" applyBorder="1" applyAlignment="1">
      <alignment vertical="center" wrapText="1"/>
    </xf>
    <xf numFmtId="2" fontId="3" fillId="0" borderId="25" xfId="3" applyNumberFormat="1" applyFont="1" applyFill="1" applyBorder="1" applyAlignment="1">
      <alignment vertical="center" wrapText="1"/>
    </xf>
    <xf numFmtId="2" fontId="4" fillId="0" borderId="25" xfId="3" applyNumberFormat="1" applyFont="1" applyFill="1" applyBorder="1" applyAlignment="1">
      <alignment vertical="center" wrapText="1"/>
    </xf>
    <xf numFmtId="2" fontId="3" fillId="4" borderId="25" xfId="3" applyNumberFormat="1" applyFont="1" applyFill="1" applyBorder="1" applyAlignment="1">
      <alignment vertical="center" wrapText="1"/>
    </xf>
    <xf numFmtId="2" fontId="4" fillId="0" borderId="27" xfId="3" applyNumberFormat="1" applyFont="1" applyFill="1" applyBorder="1" applyAlignment="1">
      <alignment vertical="center" wrapText="1"/>
    </xf>
    <xf numFmtId="0" fontId="8" fillId="4" borderId="56" xfId="0" applyFont="1" applyFill="1" applyBorder="1" applyAlignment="1">
      <alignment horizontal="center"/>
    </xf>
    <xf numFmtId="0" fontId="8" fillId="4" borderId="57" xfId="0" applyFont="1" applyFill="1" applyBorder="1" applyAlignment="1">
      <alignment horizontal="center"/>
    </xf>
    <xf numFmtId="0" fontId="8" fillId="4" borderId="59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left" vertical="center"/>
    </xf>
    <xf numFmtId="2" fontId="7" fillId="0" borderId="60" xfId="1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left" vertical="center"/>
    </xf>
    <xf numFmtId="2" fontId="7" fillId="5" borderId="60" xfId="1" applyNumberFormat="1" applyFont="1" applyFill="1" applyBorder="1" applyAlignment="1">
      <alignment horizontal="center" vertical="center"/>
    </xf>
    <xf numFmtId="4" fontId="7" fillId="5" borderId="60" xfId="0" applyNumberFormat="1" applyFont="1" applyFill="1" applyBorder="1" applyAlignment="1">
      <alignment horizontal="center" wrapText="1"/>
    </xf>
    <xf numFmtId="4" fontId="7" fillId="6" borderId="60" xfId="0" applyNumberFormat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left" vertical="center"/>
    </xf>
    <xf numFmtId="4" fontId="7" fillId="5" borderId="62" xfId="0" applyNumberFormat="1" applyFont="1" applyFill="1" applyBorder="1" applyAlignment="1">
      <alignment horizontal="right"/>
    </xf>
    <xf numFmtId="4" fontId="7" fillId="5" borderId="63" xfId="0" applyNumberFormat="1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70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69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 vertical="top"/>
    </xf>
    <xf numFmtId="0" fontId="6" fillId="5" borderId="59" xfId="0" applyFont="1" applyFill="1" applyBorder="1" applyAlignment="1">
      <alignment horizontal="justify" vertical="center"/>
    </xf>
    <xf numFmtId="0" fontId="6" fillId="8" borderId="31" xfId="0" applyFont="1" applyFill="1" applyBorder="1" applyAlignment="1">
      <alignment horizontal="center" vertical="top"/>
    </xf>
    <xf numFmtId="10" fontId="7" fillId="5" borderId="33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7" fillId="5" borderId="36" xfId="0" applyNumberFormat="1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/>
    </xf>
    <xf numFmtId="10" fontId="0" fillId="0" borderId="0" xfId="1" applyNumberFormat="1" applyFont="1"/>
    <xf numFmtId="4" fontId="7" fillId="0" borderId="60" xfId="0" applyNumberFormat="1" applyFont="1" applyFill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6" fillId="0" borderId="17" xfId="0" applyFont="1" applyFill="1" applyBorder="1" applyAlignment="1">
      <alignment horizontal="justify"/>
    </xf>
    <xf numFmtId="0" fontId="6" fillId="0" borderId="65" xfId="0" applyFont="1" applyFill="1" applyBorder="1" applyAlignment="1">
      <alignment horizontal="justify"/>
    </xf>
    <xf numFmtId="0" fontId="8" fillId="8" borderId="58" xfId="0" applyFont="1" applyFill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justify" vertical="top"/>
    </xf>
    <xf numFmtId="0" fontId="6" fillId="0" borderId="36" xfId="0" applyFont="1" applyFill="1" applyBorder="1" applyAlignment="1">
      <alignment horizontal="justify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5">
    <cellStyle name="Dziesiętny" xfId="3" builtinId="3"/>
    <cellStyle name="Normalny" xfId="0" builtinId="0"/>
    <cellStyle name="Normalny_bilans_przekształceń" xfId="2"/>
    <cellStyle name="Normalny_Skonsolidowane sprawozdanie finansowe" xfId="4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12</xdr:col>
      <xdr:colOff>75009</xdr:colOff>
      <xdr:row>38</xdr:row>
      <xdr:rowOff>24606</xdr:rowOff>
    </xdr:to>
    <xdr:sp macro="" textlink="">
      <xdr:nvSpPr>
        <xdr:cNvPr id="2" name="pole tekstowe 1"/>
        <xdr:cNvSpPr txBox="1"/>
      </xdr:nvSpPr>
      <xdr:spPr>
        <a:xfrm>
          <a:off x="7124700" y="190500"/>
          <a:ext cx="4332684" cy="70731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Objaśnienia:</a:t>
          </a:r>
        </a:p>
        <a:p>
          <a:endParaRPr lang="pl-PL" sz="1100"/>
        </a:p>
        <a:p>
          <a:r>
            <a:rPr lang="pl-PL" sz="1100" b="1"/>
            <a:t>1.</a:t>
          </a:r>
          <a:r>
            <a:rPr lang="pl-PL" sz="1100" b="1" baseline="0"/>
            <a:t> Wskaźnik rentowności operacyjnej</a:t>
          </a:r>
        </a:p>
        <a:p>
          <a:r>
            <a:rPr lang="pl-PL" sz="1100" u="sng" baseline="0"/>
            <a:t>Formuła:</a:t>
          </a:r>
          <a:r>
            <a:rPr lang="pl-PL" sz="1100" baseline="0"/>
            <a:t> wynik na działalności operacyjnej / przychody ze sprzedaży</a:t>
          </a:r>
        </a:p>
        <a:p>
          <a:r>
            <a:rPr lang="pl-PL" sz="1100" u="sng" baseline="0"/>
            <a:t>Opis: </a:t>
          </a:r>
          <a:r>
            <a:rPr lang="pl-PL"/>
            <a:t>określa, ile zysku netto (po opodatkowaniu) przypada na 1 złoty przychodów firmy</a:t>
          </a:r>
          <a:endParaRPr lang="pl-PL" sz="1100" baseline="0"/>
        </a:p>
        <a:p>
          <a:endParaRPr lang="pl-PL" sz="1100" baseline="0"/>
        </a:p>
        <a:p>
          <a:r>
            <a:rPr lang="pl-PL" sz="1100" b="1" baseline="0"/>
            <a:t>2. Wskaźnik rentowności EBITDA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(wynika na działalności operacyjnej+amortyzacja)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 </a:t>
          </a:r>
          <a:r>
            <a:rPr lang="pl-PL"/>
            <a:t>mierzy efektywność konwersji przychodów na zysk z działalności ciągłej przed odsetkami od zaciągniętych kredytów, podatkami, deprecjacją i amortyzacją oraz przed pozycjami wyjątkowymi. </a:t>
          </a:r>
        </a:p>
        <a:p>
          <a:endParaRPr lang="pl-PL" sz="1100"/>
        </a:p>
        <a:p>
          <a:r>
            <a:rPr lang="pl-PL" sz="1100" b="1"/>
            <a:t>3. Wskaźnik</a:t>
          </a:r>
          <a:r>
            <a:rPr lang="pl-PL" sz="1100" b="1" baseline="0"/>
            <a:t> rentowności netto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Wynik netto / Przychody ze sprzedaży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/>
            <a:t>informuje inwestorów ile procent przychodów ze sprzedaży stanowi zysk netto</a:t>
          </a:r>
        </a:p>
        <a:p>
          <a:endParaRPr lang="pl-PL" sz="1100"/>
        </a:p>
        <a:p>
          <a:r>
            <a:rPr lang="pl-PL" sz="1100" b="1"/>
            <a:t>4. Wskaśnik rentowności kapitału własnego</a:t>
          </a:r>
          <a:r>
            <a:rPr lang="pl-PL" sz="1100" b="1" baseline="0"/>
            <a:t> (ROE)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Kapitał własny, gdzie: Kapitał własny = Aktywa ogółem - Zobowiązania (krótko i długoterminowe)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określa stopę zyskowności zainwestowanych w firmie kapitałów własnych</a:t>
          </a:r>
        </a:p>
        <a:p>
          <a:endParaRPr lang="pl-PL" sz="1100"/>
        </a:p>
        <a:p>
          <a:r>
            <a:rPr lang="pl-PL" sz="1100" b="1"/>
            <a:t>5. Wskaźnik</a:t>
          </a:r>
          <a:r>
            <a:rPr lang="pl-PL" sz="1100" b="1" baseline="0"/>
            <a:t> rentowności majątku (ROA)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Wynik netto / aktywa  ogółem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 </a:t>
          </a:r>
          <a:r>
            <a:rPr lang="pl-PL" b="0"/>
            <a:t>informuje o tym jaka jest rentowność wszystkich aktywów firmy w stosunku do wypracowanych przez nią zysków,</a:t>
          </a:r>
          <a:r>
            <a:rPr lang="pl-PL" b="0" baseline="0"/>
            <a:t> </a:t>
          </a:r>
          <a:r>
            <a:rPr lang="pl-PL" b="0"/>
            <a:t>czy innymi</a:t>
          </a:r>
          <a:r>
            <a:rPr lang="pl-PL" b="0" baseline="0"/>
            <a:t> słowy ile zysku netto  przynosi każda złotówka zaangażowana w finansowanie majątku</a:t>
          </a:r>
          <a:endParaRPr lang="pl-PL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r>
            <a:rPr lang="pl-PL" sz="1100" b="1"/>
            <a:t>6. Wskaźnik ogólnej płynności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aktywa obrotowe / zobowiązania krótkoterminowe</a:t>
          </a:r>
          <a:endParaRPr lang="pl-PL"/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/>
            <a:t>informuje o zdolności przedsiębiorstwa do regulowania zobowiązań w oparciu o wszystkie aktywa obrotowe</a:t>
          </a:r>
        </a:p>
        <a:p>
          <a:endParaRPr lang="pl-PL" sz="1100"/>
        </a:p>
        <a:p>
          <a:r>
            <a:rPr lang="pl-PL" sz="1100" b="1"/>
            <a:t>7. Wskaźnik ogólnego</a:t>
          </a:r>
          <a:r>
            <a:rPr lang="pl-PL" sz="1100" b="1" baseline="0"/>
            <a:t> zadłużenia</a:t>
          </a:r>
        </a:p>
        <a:p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Formuła: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zobowiązania ogółem / aktywa razem</a:t>
          </a:r>
          <a:endParaRPr lang="pl-PL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Opis: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b="0"/>
            <a:t>mówi o tym jaki udział w finansowaniu majątku firmy mają zobowiązania i dług</a:t>
          </a:r>
        </a:p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ka\AppData\Local\Temp\Dane%20finansowe_1Q2014_Skonsolidowane%20GK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 GK"/>
      <sheetName val="Sk. spr.z cał.doch.GK"/>
      <sheetName val="Bilans GK"/>
      <sheetName val="Zest.zmian w kap.wł. GK"/>
      <sheetName val="Rach.przep.pienięż GK"/>
      <sheetName val="Wybrane dane finansowe GK"/>
      <sheetName val="Wskaźniki finansowe GK"/>
      <sheetName val="Kursy walut"/>
    </sheetNames>
    <sheetDataSet>
      <sheetData sheetId="0">
        <row r="21">
          <cell r="C21">
            <v>702.74999999999534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tabSelected="1" workbookViewId="0">
      <selection activeCell="B1" sqref="B1"/>
    </sheetView>
  </sheetViews>
  <sheetFormatPr defaultRowHeight="15" x14ac:dyDescent="0.25"/>
  <cols>
    <col min="1" max="1" width="4.140625" customWidth="1"/>
    <col min="2" max="2" width="52.28515625" customWidth="1"/>
    <col min="3" max="4" width="12.5703125" style="42" customWidth="1"/>
  </cols>
  <sheetData>
    <row r="1" spans="2:7" ht="15.75" thickBot="1" x14ac:dyDescent="0.3"/>
    <row r="2" spans="2:7" ht="16.5" thickTop="1" thickBot="1" x14ac:dyDescent="0.3">
      <c r="C2" s="163" t="s">
        <v>29</v>
      </c>
      <c r="D2" s="164"/>
    </row>
    <row r="3" spans="2:7" ht="34.5" thickTop="1" x14ac:dyDescent="0.25">
      <c r="B3" s="98"/>
      <c r="C3" s="99" t="s">
        <v>164</v>
      </c>
      <c r="D3" s="100" t="s">
        <v>165</v>
      </c>
    </row>
    <row r="4" spans="2:7" x14ac:dyDescent="0.25">
      <c r="B4" s="1" t="s">
        <v>0</v>
      </c>
      <c r="C4" s="86">
        <f>C5+C6</f>
        <v>26364.159999999996</v>
      </c>
      <c r="D4" s="101">
        <f>D6+D5</f>
        <v>22245.059999999998</v>
      </c>
    </row>
    <row r="5" spans="2:7" x14ac:dyDescent="0.25">
      <c r="B5" s="2" t="s">
        <v>1</v>
      </c>
      <c r="C5" s="43">
        <v>20573.759999999998</v>
      </c>
      <c r="D5" s="102">
        <v>17331.87</v>
      </c>
    </row>
    <row r="6" spans="2:7" x14ac:dyDescent="0.25">
      <c r="B6" s="2" t="s">
        <v>2</v>
      </c>
      <c r="C6" s="43">
        <v>5790.4</v>
      </c>
      <c r="D6" s="102">
        <v>4913.1899999999996</v>
      </c>
    </row>
    <row r="7" spans="2:7" x14ac:dyDescent="0.25">
      <c r="B7" s="1" t="s">
        <v>3</v>
      </c>
      <c r="C7" s="86">
        <f>C8+C9</f>
        <v>18452.18</v>
      </c>
      <c r="D7" s="101">
        <f>D9+D8</f>
        <v>15432.49</v>
      </c>
    </row>
    <row r="8" spans="2:7" x14ac:dyDescent="0.25">
      <c r="B8" s="2" t="s">
        <v>4</v>
      </c>
      <c r="C8" s="43">
        <v>13379.94</v>
      </c>
      <c r="D8" s="102">
        <v>11659.06</v>
      </c>
    </row>
    <row r="9" spans="2:7" x14ac:dyDescent="0.25">
      <c r="B9" s="2" t="s">
        <v>5</v>
      </c>
      <c r="C9" s="43">
        <v>5072.24</v>
      </c>
      <c r="D9" s="102">
        <v>3773.43</v>
      </c>
    </row>
    <row r="10" spans="2:7" x14ac:dyDescent="0.25">
      <c r="B10" s="7" t="s">
        <v>6</v>
      </c>
      <c r="C10" s="87">
        <f>C4-C7</f>
        <v>7911.9799999999959</v>
      </c>
      <c r="D10" s="103">
        <f t="shared" ref="D10" si="0">D4-D7</f>
        <v>6812.5699999999979</v>
      </c>
      <c r="E10" s="97"/>
      <c r="F10" s="97"/>
      <c r="G10" s="24"/>
    </row>
    <row r="11" spans="2:7" x14ac:dyDescent="0.25">
      <c r="B11" s="2" t="s">
        <v>7</v>
      </c>
      <c r="C11" s="43">
        <v>0</v>
      </c>
      <c r="D11" s="102">
        <v>0</v>
      </c>
      <c r="E11" s="24"/>
    </row>
    <row r="12" spans="2:7" x14ac:dyDescent="0.25">
      <c r="B12" s="3" t="s">
        <v>8</v>
      </c>
      <c r="C12" s="43">
        <v>108.28</v>
      </c>
      <c r="D12" s="102">
        <v>142.63</v>
      </c>
    </row>
    <row r="13" spans="2:7" x14ac:dyDescent="0.25">
      <c r="B13" s="3" t="s">
        <v>9</v>
      </c>
      <c r="C13" s="43">
        <v>4178.2700000000004</v>
      </c>
      <c r="D13" s="102">
        <v>3791.25</v>
      </c>
    </row>
    <row r="14" spans="2:7" x14ac:dyDescent="0.25">
      <c r="B14" s="3" t="s">
        <v>10</v>
      </c>
      <c r="C14" s="43">
        <v>2908.47</v>
      </c>
      <c r="D14" s="102">
        <v>2456.4</v>
      </c>
    </row>
    <row r="15" spans="2:7" x14ac:dyDescent="0.25">
      <c r="B15" s="3" t="s">
        <v>11</v>
      </c>
      <c r="C15" s="43">
        <v>0</v>
      </c>
      <c r="D15" s="102">
        <v>0</v>
      </c>
    </row>
    <row r="16" spans="2:7" x14ac:dyDescent="0.25">
      <c r="B16" s="3" t="s">
        <v>12</v>
      </c>
      <c r="C16" s="43">
        <v>20.190000000000001</v>
      </c>
      <c r="D16" s="102">
        <v>47.93</v>
      </c>
    </row>
    <row r="17" spans="2:6" x14ac:dyDescent="0.25">
      <c r="B17" s="7" t="s">
        <v>13</v>
      </c>
      <c r="C17" s="87">
        <f>C10+C11+C12-C13-C14-C15-C16</f>
        <v>913.32999999999538</v>
      </c>
      <c r="D17" s="103">
        <f t="shared" ref="D17" si="1">D10+D11+D12-D13-D14-D15-D16</f>
        <v>659.61999999999796</v>
      </c>
      <c r="E17" s="24"/>
      <c r="F17" s="24"/>
    </row>
    <row r="18" spans="2:6" x14ac:dyDescent="0.25">
      <c r="B18" s="3" t="s">
        <v>14</v>
      </c>
      <c r="C18" s="43">
        <v>3.04</v>
      </c>
      <c r="D18" s="102">
        <v>8.9499999999999993</v>
      </c>
    </row>
    <row r="19" spans="2:6" x14ac:dyDescent="0.25">
      <c r="B19" s="3" t="s">
        <v>15</v>
      </c>
      <c r="C19" s="43">
        <v>213.62</v>
      </c>
      <c r="D19" s="102">
        <v>341.72</v>
      </c>
    </row>
    <row r="20" spans="2:6" ht="22.5" x14ac:dyDescent="0.25">
      <c r="B20" s="3" t="s">
        <v>16</v>
      </c>
      <c r="C20" s="43">
        <v>0</v>
      </c>
      <c r="D20" s="102">
        <v>0</v>
      </c>
    </row>
    <row r="21" spans="2:6" x14ac:dyDescent="0.25">
      <c r="B21" s="7" t="s">
        <v>17</v>
      </c>
      <c r="C21" s="87">
        <f>C17+C18-C19-C20</f>
        <v>702.74999999999534</v>
      </c>
      <c r="D21" s="103">
        <f t="shared" ref="D21" si="2">D17+D18-D19-D20</f>
        <v>326.84999999999798</v>
      </c>
    </row>
    <row r="22" spans="2:6" x14ac:dyDescent="0.25">
      <c r="B22" s="3" t="s">
        <v>18</v>
      </c>
      <c r="C22" s="43">
        <v>0</v>
      </c>
      <c r="D22" s="102">
        <v>0</v>
      </c>
    </row>
    <row r="23" spans="2:6" x14ac:dyDescent="0.25">
      <c r="B23" s="106" t="s">
        <v>19</v>
      </c>
      <c r="C23" s="88">
        <v>0</v>
      </c>
      <c r="D23" s="102">
        <v>0</v>
      </c>
    </row>
    <row r="24" spans="2:6" x14ac:dyDescent="0.25">
      <c r="B24" s="7" t="s">
        <v>20</v>
      </c>
      <c r="C24" s="87">
        <f>C21</f>
        <v>702.74999999999534</v>
      </c>
      <c r="D24" s="103">
        <v>326.85000000000002</v>
      </c>
    </row>
    <row r="25" spans="2:6" x14ac:dyDescent="0.25">
      <c r="B25" s="1" t="s">
        <v>21</v>
      </c>
      <c r="C25" s="87">
        <v>0</v>
      </c>
      <c r="D25" s="103">
        <v>0</v>
      </c>
    </row>
    <row r="26" spans="2:6" x14ac:dyDescent="0.25">
      <c r="B26" s="7" t="s">
        <v>22</v>
      </c>
      <c r="C26" s="87">
        <f>C21</f>
        <v>702.74999999999534</v>
      </c>
      <c r="D26" s="103">
        <f>D24</f>
        <v>326.85000000000002</v>
      </c>
    </row>
    <row r="27" spans="2:6" ht="16.5" customHeight="1" x14ac:dyDescent="0.25">
      <c r="B27" s="106" t="s">
        <v>23</v>
      </c>
      <c r="C27" s="88">
        <f>C26</f>
        <v>702.74999999999534</v>
      </c>
      <c r="D27" s="102">
        <v>326.85000000000002</v>
      </c>
      <c r="E27" s="24"/>
    </row>
    <row r="28" spans="2:6" x14ac:dyDescent="0.25">
      <c r="B28" s="106" t="s">
        <v>19</v>
      </c>
      <c r="C28" s="88">
        <v>0</v>
      </c>
      <c r="D28" s="102">
        <v>0</v>
      </c>
    </row>
    <row r="29" spans="2:6" x14ac:dyDescent="0.25">
      <c r="B29" s="5" t="s">
        <v>24</v>
      </c>
      <c r="C29" s="87">
        <f>$C$27*1000/7198570</f>
        <v>9.7623555789551994E-2</v>
      </c>
      <c r="D29" s="103">
        <f>$D$27*1000/7198570</f>
        <v>4.5404851241288201E-2</v>
      </c>
    </row>
    <row r="30" spans="2:6" x14ac:dyDescent="0.25">
      <c r="B30" s="6" t="s">
        <v>25</v>
      </c>
      <c r="C30" s="89">
        <f t="shared" ref="C30:C34" si="3">$C$27*1000/7198570</f>
        <v>9.7623555789551994E-2</v>
      </c>
      <c r="D30" s="104">
        <f t="shared" ref="D30:D34" si="4">$D$27*1000/7198570</f>
        <v>4.5404851241288201E-2</v>
      </c>
    </row>
    <row r="31" spans="2:6" x14ac:dyDescent="0.25">
      <c r="B31" s="6" t="s">
        <v>26</v>
      </c>
      <c r="C31" s="89">
        <f t="shared" si="3"/>
        <v>9.7623555789551994E-2</v>
      </c>
      <c r="D31" s="104">
        <f t="shared" si="4"/>
        <v>4.5404851241288201E-2</v>
      </c>
    </row>
    <row r="32" spans="2:6" ht="22.5" x14ac:dyDescent="0.25">
      <c r="B32" s="7" t="s">
        <v>27</v>
      </c>
      <c r="C32" s="87">
        <f t="shared" si="3"/>
        <v>9.7623555789551994E-2</v>
      </c>
      <c r="D32" s="103">
        <f t="shared" si="4"/>
        <v>4.5404851241288201E-2</v>
      </c>
      <c r="E32" s="30"/>
    </row>
    <row r="33" spans="2:5" x14ac:dyDescent="0.25">
      <c r="B33" s="2" t="s">
        <v>25</v>
      </c>
      <c r="C33" s="89">
        <f t="shared" si="3"/>
        <v>9.7623555789551994E-2</v>
      </c>
      <c r="D33" s="104">
        <f t="shared" si="4"/>
        <v>4.5404851241288201E-2</v>
      </c>
      <c r="E33" s="30"/>
    </row>
    <row r="34" spans="2:5" x14ac:dyDescent="0.25">
      <c r="B34" s="2" t="s">
        <v>26</v>
      </c>
      <c r="C34" s="89">
        <f t="shared" si="3"/>
        <v>9.7623555789551994E-2</v>
      </c>
      <c r="D34" s="104">
        <f t="shared" si="4"/>
        <v>4.5404851241288201E-2</v>
      </c>
      <c r="E34" s="30"/>
    </row>
    <row r="35" spans="2:5" ht="23.25" thickBot="1" x14ac:dyDescent="0.3">
      <c r="B35" s="8" t="s">
        <v>28</v>
      </c>
      <c r="C35" s="90">
        <v>0</v>
      </c>
      <c r="D35" s="105">
        <v>0</v>
      </c>
      <c r="E35" s="30"/>
    </row>
    <row r="36" spans="2:5" ht="15.75" thickTop="1" x14ac:dyDescent="0.25"/>
  </sheetData>
  <mergeCells count="1">
    <mergeCell ref="C2:D2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E11" sqref="E11"/>
    </sheetView>
  </sheetViews>
  <sheetFormatPr defaultRowHeight="15" x14ac:dyDescent="0.25"/>
  <cols>
    <col min="2" max="2" width="61.7109375" customWidth="1"/>
    <col min="3" max="4" width="12.5703125" customWidth="1"/>
  </cols>
  <sheetData>
    <row r="1" spans="2:4" ht="15.75" thickBot="1" x14ac:dyDescent="0.3"/>
    <row r="2" spans="2:4" ht="16.5" thickTop="1" thickBot="1" x14ac:dyDescent="0.3">
      <c r="C2" s="165" t="s">
        <v>29</v>
      </c>
      <c r="D2" s="166"/>
    </row>
    <row r="3" spans="2:4" ht="36.75" customHeight="1" thickTop="1" x14ac:dyDescent="0.25">
      <c r="B3" s="107"/>
      <c r="C3" s="99" t="s">
        <v>164</v>
      </c>
      <c r="D3" s="100" t="s">
        <v>165</v>
      </c>
    </row>
    <row r="4" spans="2:4" x14ac:dyDescent="0.25">
      <c r="B4" s="4" t="s">
        <v>22</v>
      </c>
      <c r="C4" s="82">
        <f>'RZiS GK'!C26</f>
        <v>702.74999999999534</v>
      </c>
      <c r="D4" s="108">
        <f>'RZiS GK'!D26</f>
        <v>326.85000000000002</v>
      </c>
    </row>
    <row r="5" spans="2:4" x14ac:dyDescent="0.25">
      <c r="B5" s="3" t="s">
        <v>77</v>
      </c>
      <c r="C5" s="43">
        <v>0</v>
      </c>
      <c r="D5" s="102">
        <v>0</v>
      </c>
    </row>
    <row r="6" spans="2:4" ht="22.5" x14ac:dyDescent="0.25">
      <c r="B6" s="3" t="s">
        <v>78</v>
      </c>
      <c r="C6" s="43">
        <v>0</v>
      </c>
      <c r="D6" s="102">
        <v>0</v>
      </c>
    </row>
    <row r="7" spans="2:4" ht="22.5" x14ac:dyDescent="0.25">
      <c r="B7" s="3" t="s">
        <v>79</v>
      </c>
      <c r="C7" s="43">
        <v>0</v>
      </c>
      <c r="D7" s="102">
        <v>0</v>
      </c>
    </row>
    <row r="8" spans="2:4" x14ac:dyDescent="0.25">
      <c r="B8" s="3" t="s">
        <v>80</v>
      </c>
      <c r="C8" s="43">
        <v>0</v>
      </c>
      <c r="D8" s="102">
        <v>0</v>
      </c>
    </row>
    <row r="9" spans="2:4" x14ac:dyDescent="0.25">
      <c r="B9" s="3" t="s">
        <v>81</v>
      </c>
      <c r="C9" s="43">
        <v>0</v>
      </c>
      <c r="D9" s="102">
        <v>0</v>
      </c>
    </row>
    <row r="10" spans="2:4" x14ac:dyDescent="0.25">
      <c r="B10" s="3" t="s">
        <v>82</v>
      </c>
      <c r="C10" s="43">
        <v>0</v>
      </c>
      <c r="D10" s="102">
        <v>0</v>
      </c>
    </row>
    <row r="11" spans="2:4" x14ac:dyDescent="0.25">
      <c r="B11" s="4" t="s">
        <v>83</v>
      </c>
      <c r="C11" s="82">
        <f>SUM(C4:C10)</f>
        <v>702.74999999999534</v>
      </c>
      <c r="D11" s="108">
        <f>SUM(D4:D10)</f>
        <v>326.85000000000002</v>
      </c>
    </row>
    <row r="12" spans="2:4" x14ac:dyDescent="0.25">
      <c r="B12" s="14" t="s">
        <v>84</v>
      </c>
      <c r="C12" s="83">
        <v>0</v>
      </c>
      <c r="D12" s="109">
        <v>0</v>
      </c>
    </row>
    <row r="13" spans="2:4" ht="15.75" thickBot="1" x14ac:dyDescent="0.3">
      <c r="B13" s="15" t="s">
        <v>85</v>
      </c>
      <c r="C13" s="91">
        <f>SUM(C11:C12)</f>
        <v>702.74999999999534</v>
      </c>
      <c r="D13" s="110">
        <f>SUM(D11:D12)</f>
        <v>326.85000000000002</v>
      </c>
    </row>
    <row r="14" spans="2:4" ht="15.75" thickTop="1" x14ac:dyDescent="0.25"/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9"/>
  <sheetViews>
    <sheetView zoomScaleNormal="100" workbookViewId="0">
      <selection activeCell="B21" sqref="B21"/>
    </sheetView>
  </sheetViews>
  <sheetFormatPr defaultRowHeight="15" x14ac:dyDescent="0.25"/>
  <cols>
    <col min="1" max="1" width="4.42578125" customWidth="1"/>
    <col min="2" max="2" width="55.42578125" customWidth="1"/>
    <col min="3" max="4" width="13.140625" style="42" customWidth="1"/>
    <col min="5" max="5" width="19" customWidth="1"/>
    <col min="6" max="6" width="12.7109375" customWidth="1"/>
  </cols>
  <sheetData>
    <row r="1" spans="2:5" ht="15.75" thickBot="1" x14ac:dyDescent="0.3">
      <c r="D1" s="84"/>
    </row>
    <row r="2" spans="2:5" ht="16.5" thickTop="1" thickBot="1" x14ac:dyDescent="0.3">
      <c r="C2" s="167" t="s">
        <v>29</v>
      </c>
      <c r="D2" s="168"/>
    </row>
    <row r="3" spans="2:5" ht="25.5" customHeight="1" thickTop="1" x14ac:dyDescent="0.25">
      <c r="B3" s="107" t="s">
        <v>50</v>
      </c>
      <c r="C3" s="111" t="s">
        <v>169</v>
      </c>
      <c r="D3" s="112" t="s">
        <v>170</v>
      </c>
    </row>
    <row r="4" spans="2:5" x14ac:dyDescent="0.25">
      <c r="B4" s="9" t="s">
        <v>30</v>
      </c>
      <c r="C4" s="92">
        <f>SUM(C5:C12)</f>
        <v>32728.9</v>
      </c>
      <c r="D4" s="44">
        <f>SUM(D5:D12)</f>
        <v>30495.93</v>
      </c>
    </row>
    <row r="5" spans="2:5" x14ac:dyDescent="0.25">
      <c r="B5" s="3" t="s">
        <v>31</v>
      </c>
      <c r="C5" s="43">
        <v>27347.87</v>
      </c>
      <c r="D5" s="41">
        <f>29267.43-1364.13</f>
        <v>27903.3</v>
      </c>
    </row>
    <row r="6" spans="2:5" x14ac:dyDescent="0.25">
      <c r="B6" s="3" t="s">
        <v>32</v>
      </c>
      <c r="C6" s="43">
        <v>2268.0700000000002</v>
      </c>
      <c r="D6" s="41">
        <f>6.33+1364.13</f>
        <v>1370.46</v>
      </c>
    </row>
    <row r="7" spans="2:5" x14ac:dyDescent="0.25">
      <c r="B7" s="3" t="s">
        <v>33</v>
      </c>
      <c r="C7" s="43">
        <v>522.88</v>
      </c>
      <c r="D7" s="41">
        <v>545.86</v>
      </c>
    </row>
    <row r="8" spans="2:5" x14ac:dyDescent="0.25">
      <c r="B8" s="3" t="s">
        <v>34</v>
      </c>
      <c r="C8" s="43">
        <v>1911.79</v>
      </c>
      <c r="D8" s="41">
        <v>0</v>
      </c>
    </row>
    <row r="9" spans="2:5" x14ac:dyDescent="0.25">
      <c r="B9" s="3" t="s">
        <v>35</v>
      </c>
      <c r="C9" s="43">
        <v>0</v>
      </c>
      <c r="D9" s="41">
        <v>0</v>
      </c>
    </row>
    <row r="10" spans="2:5" x14ac:dyDescent="0.25">
      <c r="B10" s="3" t="s">
        <v>36</v>
      </c>
      <c r="C10" s="43">
        <v>0</v>
      </c>
      <c r="D10" s="41">
        <v>0</v>
      </c>
    </row>
    <row r="11" spans="2:5" x14ac:dyDescent="0.25">
      <c r="B11" s="3" t="s">
        <v>37</v>
      </c>
      <c r="C11" s="43">
        <v>143.54</v>
      </c>
      <c r="D11" s="41">
        <v>141.56</v>
      </c>
    </row>
    <row r="12" spans="2:5" x14ac:dyDescent="0.25">
      <c r="B12" s="3" t="s">
        <v>38</v>
      </c>
      <c r="C12" s="43">
        <v>534.75</v>
      </c>
      <c r="D12" s="41">
        <v>534.75</v>
      </c>
    </row>
    <row r="13" spans="2:5" x14ac:dyDescent="0.25">
      <c r="B13" s="10" t="s">
        <v>39</v>
      </c>
      <c r="C13" s="92">
        <f>SUM(C14:C22)</f>
        <v>52076.25</v>
      </c>
      <c r="D13" s="44">
        <f>SUM(D14:D22)</f>
        <v>41318.239999999998</v>
      </c>
      <c r="E13" s="24"/>
    </row>
    <row r="14" spans="2:5" x14ac:dyDescent="0.25">
      <c r="B14" s="3" t="s">
        <v>40</v>
      </c>
      <c r="C14" s="43">
        <v>24495.25</v>
      </c>
      <c r="D14" s="41">
        <v>22901.03</v>
      </c>
    </row>
    <row r="15" spans="2:5" x14ac:dyDescent="0.25">
      <c r="B15" s="3" t="s">
        <v>41</v>
      </c>
      <c r="C15" s="43">
        <v>22497.9</v>
      </c>
      <c r="D15" s="41">
        <f>16906.97-534.75</f>
        <v>16372.220000000001</v>
      </c>
    </row>
    <row r="16" spans="2:5" x14ac:dyDescent="0.25">
      <c r="B16" s="3" t="s">
        <v>42</v>
      </c>
      <c r="C16" s="43">
        <v>0</v>
      </c>
      <c r="D16" s="41">
        <v>0</v>
      </c>
    </row>
    <row r="17" spans="2:6" x14ac:dyDescent="0.25">
      <c r="B17" s="3" t="s">
        <v>43</v>
      </c>
      <c r="C17" s="43">
        <f>1377.27+693.01</f>
        <v>2070.2799999999997</v>
      </c>
      <c r="D17" s="41">
        <f>238.22</f>
        <v>238.22</v>
      </c>
    </row>
    <row r="18" spans="2:6" x14ac:dyDescent="0.25">
      <c r="B18" s="3" t="s">
        <v>44</v>
      </c>
      <c r="C18" s="43">
        <v>0</v>
      </c>
      <c r="D18" s="41">
        <v>0</v>
      </c>
    </row>
    <row r="19" spans="2:6" ht="22.5" x14ac:dyDescent="0.25">
      <c r="B19" s="3" t="s">
        <v>45</v>
      </c>
      <c r="C19" s="43">
        <v>0</v>
      </c>
      <c r="D19" s="41">
        <v>0</v>
      </c>
    </row>
    <row r="20" spans="2:6" x14ac:dyDescent="0.25">
      <c r="B20" s="3" t="s">
        <v>36</v>
      </c>
      <c r="C20" s="43">
        <v>0</v>
      </c>
      <c r="D20" s="41">
        <v>0</v>
      </c>
    </row>
    <row r="21" spans="2:6" x14ac:dyDescent="0.25">
      <c r="B21" s="3" t="s">
        <v>46</v>
      </c>
      <c r="C21" s="43">
        <v>1479.79</v>
      </c>
      <c r="D21" s="41">
        <v>1224.17</v>
      </c>
    </row>
    <row r="22" spans="2:6" x14ac:dyDescent="0.25">
      <c r="B22" s="3" t="s">
        <v>47</v>
      </c>
      <c r="C22" s="43">
        <v>1533.03</v>
      </c>
      <c r="D22" s="41">
        <v>582.6</v>
      </c>
    </row>
    <row r="23" spans="2:6" x14ac:dyDescent="0.25">
      <c r="B23" s="10" t="s">
        <v>48</v>
      </c>
      <c r="C23" s="92">
        <v>0</v>
      </c>
      <c r="D23" s="44">
        <v>0</v>
      </c>
    </row>
    <row r="24" spans="2:6" ht="15.75" thickBot="1" x14ac:dyDescent="0.3">
      <c r="B24" s="11" t="s">
        <v>49</v>
      </c>
      <c r="C24" s="93">
        <f>C4+C13</f>
        <v>84805.15</v>
      </c>
      <c r="D24" s="45">
        <f>D13+D4</f>
        <v>71814.17</v>
      </c>
      <c r="E24" s="24"/>
    </row>
    <row r="25" spans="2:6" ht="16.5" thickTop="1" thickBot="1" x14ac:dyDescent="0.3"/>
    <row r="26" spans="2:6" ht="16.5" thickTop="1" thickBot="1" x14ac:dyDescent="0.3">
      <c r="C26" s="167" t="s">
        <v>29</v>
      </c>
      <c r="D26" s="168"/>
    </row>
    <row r="27" spans="2:6" ht="23.25" thickTop="1" x14ac:dyDescent="0.25">
      <c r="B27" s="107" t="s">
        <v>51</v>
      </c>
      <c r="C27" s="111" t="s">
        <v>169</v>
      </c>
      <c r="D27" s="112" t="s">
        <v>170</v>
      </c>
    </row>
    <row r="28" spans="2:6" x14ac:dyDescent="0.25">
      <c r="B28" s="10" t="s">
        <v>52</v>
      </c>
      <c r="C28" s="94">
        <f>SUM(C29:C37)</f>
        <v>40437.06</v>
      </c>
      <c r="D28" s="46">
        <f>SUM(D29:D37)</f>
        <v>38545.449999999997</v>
      </c>
      <c r="E28" s="24"/>
      <c r="F28" s="24"/>
    </row>
    <row r="29" spans="2:6" x14ac:dyDescent="0.25">
      <c r="B29" s="3" t="s">
        <v>53</v>
      </c>
      <c r="C29" s="95">
        <v>1799.64</v>
      </c>
      <c r="D29" s="47">
        <v>1799.64</v>
      </c>
    </row>
    <row r="30" spans="2:6" x14ac:dyDescent="0.25">
      <c r="B30" s="3" t="s">
        <v>54</v>
      </c>
      <c r="C30" s="95">
        <v>23815.49</v>
      </c>
      <c r="D30" s="47">
        <f>23815.49</f>
        <v>23815.49</v>
      </c>
    </row>
    <row r="31" spans="2:6" x14ac:dyDescent="0.25">
      <c r="B31" s="3" t="s">
        <v>55</v>
      </c>
      <c r="C31" s="95">
        <v>0</v>
      </c>
      <c r="D31" s="47">
        <v>0</v>
      </c>
    </row>
    <row r="32" spans="2:6" x14ac:dyDescent="0.25">
      <c r="B32" s="3" t="s">
        <v>56</v>
      </c>
      <c r="C32" s="95">
        <v>10454.870000000001</v>
      </c>
      <c r="D32" s="47">
        <v>7406.94</v>
      </c>
    </row>
    <row r="33" spans="2:6" x14ac:dyDescent="0.25">
      <c r="B33" s="3" t="s">
        <v>57</v>
      </c>
      <c r="C33" s="95">
        <v>1515.71</v>
      </c>
      <c r="D33" s="47">
        <v>3047.93</v>
      </c>
    </row>
    <row r="34" spans="2:6" x14ac:dyDescent="0.25">
      <c r="B34" s="3" t="s">
        <v>58</v>
      </c>
      <c r="C34" s="95">
        <v>0</v>
      </c>
      <c r="D34" s="47">
        <v>0</v>
      </c>
    </row>
    <row r="35" spans="2:6" x14ac:dyDescent="0.25">
      <c r="B35" s="3" t="s">
        <v>59</v>
      </c>
      <c r="C35" s="95">
        <f>2144.66+3.94</f>
        <v>2148.6</v>
      </c>
      <c r="D35" s="47">
        <f>2144.66+3.94</f>
        <v>2148.6</v>
      </c>
    </row>
    <row r="36" spans="2:6" x14ac:dyDescent="0.25">
      <c r="B36" s="3" t="s">
        <v>60</v>
      </c>
      <c r="C36" s="95">
        <v>702.75</v>
      </c>
      <c r="D36" s="47">
        <v>326.85000000000002</v>
      </c>
    </row>
    <row r="37" spans="2:6" x14ac:dyDescent="0.25">
      <c r="B37" s="3" t="s">
        <v>61</v>
      </c>
      <c r="C37" s="95">
        <v>0</v>
      </c>
      <c r="D37" s="47">
        <v>0</v>
      </c>
    </row>
    <row r="38" spans="2:6" x14ac:dyDescent="0.25">
      <c r="B38" s="10" t="s">
        <v>62</v>
      </c>
      <c r="C38" s="94">
        <f>SUM(C39:C45)</f>
        <v>3840.6500000000005</v>
      </c>
      <c r="D38" s="46">
        <f>SUM(D39:D45)</f>
        <v>3307.54</v>
      </c>
      <c r="E38" s="24"/>
    </row>
    <row r="39" spans="2:6" x14ac:dyDescent="0.25">
      <c r="B39" s="3" t="s">
        <v>63</v>
      </c>
      <c r="C39" s="95">
        <v>1685.92</v>
      </c>
      <c r="D39" s="47">
        <v>1651.47</v>
      </c>
      <c r="E39" s="24"/>
      <c r="F39" s="24"/>
    </row>
    <row r="40" spans="2:6" x14ac:dyDescent="0.25">
      <c r="B40" s="3" t="s">
        <v>64</v>
      </c>
      <c r="C40" s="95">
        <v>1339.8</v>
      </c>
      <c r="D40" s="47">
        <v>856.36</v>
      </c>
    </row>
    <row r="41" spans="2:6" x14ac:dyDescent="0.25">
      <c r="B41" s="3" t="s">
        <v>65</v>
      </c>
      <c r="C41" s="95">
        <v>0</v>
      </c>
      <c r="D41" s="47">
        <v>0</v>
      </c>
    </row>
    <row r="42" spans="2:6" x14ac:dyDescent="0.25">
      <c r="B42" s="3" t="s">
        <v>66</v>
      </c>
      <c r="C42" s="95">
        <v>288.76</v>
      </c>
      <c r="D42" s="47">
        <v>277.7</v>
      </c>
    </row>
    <row r="43" spans="2:6" x14ac:dyDescent="0.25">
      <c r="B43" s="3" t="s">
        <v>67</v>
      </c>
      <c r="C43" s="95">
        <v>526.16999999999996</v>
      </c>
      <c r="D43" s="47">
        <v>475.57</v>
      </c>
    </row>
    <row r="44" spans="2:6" x14ac:dyDescent="0.25">
      <c r="B44" s="3" t="s">
        <v>68</v>
      </c>
      <c r="C44" s="95">
        <v>0</v>
      </c>
      <c r="D44" s="47">
        <v>46.44</v>
      </c>
    </row>
    <row r="45" spans="2:6" x14ac:dyDescent="0.25">
      <c r="B45" s="3" t="s">
        <v>69</v>
      </c>
      <c r="C45" s="95">
        <v>0</v>
      </c>
      <c r="D45" s="47">
        <v>0</v>
      </c>
    </row>
    <row r="46" spans="2:6" x14ac:dyDescent="0.25">
      <c r="B46" s="10" t="s">
        <v>70</v>
      </c>
      <c r="C46" s="94">
        <f>SUM(C47:C55)</f>
        <v>40527.440000000002</v>
      </c>
      <c r="D46" s="46">
        <f>SUM(D47:D55)</f>
        <v>29961.18</v>
      </c>
      <c r="E46" s="24"/>
    </row>
    <row r="47" spans="2:6" x14ac:dyDescent="0.25">
      <c r="B47" s="3" t="s">
        <v>63</v>
      </c>
      <c r="C47" s="95">
        <v>18455.97</v>
      </c>
      <c r="D47" s="47">
        <v>10311.780000000001</v>
      </c>
      <c r="E47" s="24"/>
      <c r="F47" s="24"/>
    </row>
    <row r="48" spans="2:6" x14ac:dyDescent="0.25">
      <c r="B48" s="3" t="s">
        <v>64</v>
      </c>
      <c r="C48" s="95">
        <v>2809.25</v>
      </c>
      <c r="D48" s="47">
        <f>1049.22+1128.6</f>
        <v>2177.8199999999997</v>
      </c>
      <c r="E48" s="24"/>
    </row>
    <row r="49" spans="2:5" x14ac:dyDescent="0.25">
      <c r="B49" s="3" t="s">
        <v>71</v>
      </c>
      <c r="C49" s="95">
        <v>14903.47</v>
      </c>
      <c r="D49" s="47">
        <f>15017.38+54.69-1128.6</f>
        <v>13943.47</v>
      </c>
    </row>
    <row r="50" spans="2:5" x14ac:dyDescent="0.25">
      <c r="B50" s="12" t="s">
        <v>72</v>
      </c>
      <c r="C50" s="95">
        <v>0</v>
      </c>
      <c r="D50" s="47">
        <v>0</v>
      </c>
    </row>
    <row r="51" spans="2:5" x14ac:dyDescent="0.25">
      <c r="B51" s="3" t="s">
        <v>73</v>
      </c>
      <c r="C51" s="95">
        <f>1664.05+1181.05+44.75-0.07</f>
        <v>2889.7799999999997</v>
      </c>
      <c r="D51" s="47">
        <f>1599.06+1004.48-17.35</f>
        <v>2586.19</v>
      </c>
      <c r="E51" s="24"/>
    </row>
    <row r="52" spans="2:5" x14ac:dyDescent="0.25">
      <c r="B52" s="3" t="s">
        <v>67</v>
      </c>
      <c r="C52" s="95">
        <v>190.05</v>
      </c>
      <c r="D52" s="47">
        <v>225.89</v>
      </c>
    </row>
    <row r="53" spans="2:5" x14ac:dyDescent="0.25">
      <c r="B53" s="3" t="s">
        <v>68</v>
      </c>
      <c r="C53" s="95">
        <v>250.1</v>
      </c>
      <c r="D53" s="47">
        <v>187.97</v>
      </c>
    </row>
    <row r="54" spans="2:5" x14ac:dyDescent="0.25">
      <c r="B54" s="3" t="s">
        <v>69</v>
      </c>
      <c r="C54" s="95">
        <v>1028.82</v>
      </c>
      <c r="D54" s="47">
        <v>528.05999999999995</v>
      </c>
    </row>
    <row r="55" spans="2:5" ht="23.25" x14ac:dyDescent="0.25">
      <c r="B55" s="13" t="s">
        <v>74</v>
      </c>
      <c r="C55" s="95">
        <v>0</v>
      </c>
      <c r="D55" s="47">
        <v>0</v>
      </c>
    </row>
    <row r="56" spans="2:5" x14ac:dyDescent="0.25">
      <c r="B56" s="9" t="s">
        <v>75</v>
      </c>
      <c r="C56" s="94">
        <f>C28+C38+C46</f>
        <v>84805.15</v>
      </c>
      <c r="D56" s="46">
        <f>D46+D38+D28</f>
        <v>71814.17</v>
      </c>
      <c r="E56" s="24"/>
    </row>
    <row r="57" spans="2:5" ht="15.75" thickBot="1" x14ac:dyDescent="0.3">
      <c r="B57" s="20" t="s">
        <v>76</v>
      </c>
      <c r="C57" s="96">
        <f>C56*1000/7198570</f>
        <v>11.780832859859666</v>
      </c>
      <c r="D57" s="48">
        <f>D56*1000/7198570</f>
        <v>9.9761716563150742</v>
      </c>
    </row>
    <row r="58" spans="2:5" ht="15.75" thickTop="1" x14ac:dyDescent="0.25"/>
    <row r="59" spans="2:5" x14ac:dyDescent="0.25">
      <c r="C59" s="49"/>
      <c r="D59" s="49"/>
    </row>
  </sheetData>
  <mergeCells count="2">
    <mergeCell ref="C2:D2"/>
    <mergeCell ref="C26:D26"/>
  </mergeCells>
  <pageMargins left="0.70866141732283472" right="0.70866141732283472" top="0.15748031496062992" bottom="0.15748031496062992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A7" workbookViewId="0">
      <selection activeCell="J20" sqref="J20"/>
    </sheetView>
  </sheetViews>
  <sheetFormatPr defaultRowHeight="15" x14ac:dyDescent="0.25"/>
  <cols>
    <col min="2" max="2" width="32.42578125" customWidth="1"/>
    <col min="3" max="3" width="11" customWidth="1"/>
    <col min="4" max="4" width="17.28515625" customWidth="1"/>
    <col min="5" max="5" width="11" customWidth="1"/>
    <col min="6" max="7" width="12" customWidth="1"/>
    <col min="8" max="8" width="11" customWidth="1"/>
    <col min="9" max="9" width="15.28515625" customWidth="1"/>
    <col min="10" max="10" width="12" customWidth="1"/>
    <col min="12" max="12" width="11" customWidth="1"/>
  </cols>
  <sheetData>
    <row r="1" spans="2:13" ht="15.75" thickBot="1" x14ac:dyDescent="0.3"/>
    <row r="2" spans="2:13" ht="16.5" thickTop="1" thickBot="1" x14ac:dyDescent="0.3">
      <c r="C2" s="167" t="s">
        <v>29</v>
      </c>
      <c r="D2" s="172"/>
      <c r="E2" s="172"/>
      <c r="F2" s="172"/>
      <c r="G2" s="172"/>
      <c r="H2" s="172"/>
      <c r="I2" s="172"/>
      <c r="J2" s="168"/>
    </row>
    <row r="3" spans="2:13" ht="45.75" thickTop="1" x14ac:dyDescent="0.25">
      <c r="B3" s="113"/>
      <c r="C3" s="114" t="s">
        <v>53</v>
      </c>
      <c r="D3" s="114" t="s">
        <v>86</v>
      </c>
      <c r="E3" s="114" t="s">
        <v>56</v>
      </c>
      <c r="F3" s="114" t="s">
        <v>57</v>
      </c>
      <c r="G3" s="114" t="s">
        <v>59</v>
      </c>
      <c r="H3" s="114" t="s">
        <v>60</v>
      </c>
      <c r="I3" s="114" t="s">
        <v>87</v>
      </c>
      <c r="J3" s="115" t="s">
        <v>88</v>
      </c>
      <c r="L3" s="24"/>
    </row>
    <row r="4" spans="2:13" ht="15" customHeight="1" x14ac:dyDescent="0.25">
      <c r="B4" s="169" t="s">
        <v>171</v>
      </c>
      <c r="C4" s="170"/>
      <c r="D4" s="170"/>
      <c r="E4" s="170"/>
      <c r="F4" s="170"/>
      <c r="G4" s="170"/>
      <c r="H4" s="170"/>
      <c r="I4" s="170"/>
      <c r="J4" s="171"/>
      <c r="L4" s="24"/>
    </row>
    <row r="5" spans="2:13" x14ac:dyDescent="0.25">
      <c r="B5" s="18" t="s">
        <v>173</v>
      </c>
      <c r="C5" s="50">
        <f>C27</f>
        <v>1799.64</v>
      </c>
      <c r="D5" s="50">
        <f t="shared" ref="D5" si="0">D27</f>
        <v>23815.49</v>
      </c>
      <c r="E5" s="50">
        <v>10454.870000000001</v>
      </c>
      <c r="F5" s="50">
        <v>1515.71</v>
      </c>
      <c r="G5" s="50">
        <f>G27</f>
        <v>2148.6</v>
      </c>
      <c r="H5" s="50">
        <v>0</v>
      </c>
      <c r="I5" s="50">
        <f>SUM(C5:H5)</f>
        <v>39734.31</v>
      </c>
      <c r="J5" s="54">
        <f>I5</f>
        <v>39734.31</v>
      </c>
      <c r="L5" s="24"/>
    </row>
    <row r="6" spans="2:13" x14ac:dyDescent="0.25">
      <c r="B6" s="16" t="s">
        <v>89</v>
      </c>
      <c r="C6" s="51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3">
        <v>0</v>
      </c>
      <c r="L6" s="24"/>
    </row>
    <row r="7" spans="2:13" x14ac:dyDescent="0.25">
      <c r="B7" s="16" t="s">
        <v>90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3">
        <v>0</v>
      </c>
      <c r="L7" s="24"/>
      <c r="M7" s="24"/>
    </row>
    <row r="8" spans="2:13" x14ac:dyDescent="0.25">
      <c r="B8" s="18" t="s">
        <v>91</v>
      </c>
      <c r="C8" s="50">
        <f>C5+C6+C7</f>
        <v>1799.64</v>
      </c>
      <c r="D8" s="50">
        <f t="shared" ref="D8:J8" si="1">D5+D6+D7</f>
        <v>23815.49</v>
      </c>
      <c r="E8" s="50">
        <f t="shared" si="1"/>
        <v>10454.870000000001</v>
      </c>
      <c r="F8" s="50">
        <f t="shared" si="1"/>
        <v>1515.71</v>
      </c>
      <c r="G8" s="50">
        <f t="shared" si="1"/>
        <v>2148.6</v>
      </c>
      <c r="H8" s="50">
        <f t="shared" si="1"/>
        <v>0</v>
      </c>
      <c r="I8" s="50">
        <f>I5+I6+I7</f>
        <v>39734.31</v>
      </c>
      <c r="J8" s="54">
        <f t="shared" si="1"/>
        <v>39734.31</v>
      </c>
      <c r="L8" s="24"/>
    </row>
    <row r="9" spans="2:13" x14ac:dyDescent="0.25">
      <c r="B9" s="16" t="s">
        <v>92</v>
      </c>
      <c r="C9" s="51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3">
        <v>0</v>
      </c>
      <c r="L9" s="24"/>
    </row>
    <row r="10" spans="2:13" x14ac:dyDescent="0.25">
      <c r="B10" s="16" t="s">
        <v>93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f t="shared" ref="I10:I14" si="2">SUM(C10:H10)</f>
        <v>0</v>
      </c>
      <c r="J10" s="53">
        <v>0</v>
      </c>
      <c r="L10" s="24"/>
    </row>
    <row r="11" spans="2:13" x14ac:dyDescent="0.25">
      <c r="B11" s="16" t="s">
        <v>94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f t="shared" si="2"/>
        <v>0</v>
      </c>
      <c r="J11" s="53">
        <v>0</v>
      </c>
      <c r="L11" s="24"/>
    </row>
    <row r="12" spans="2:13" x14ac:dyDescent="0.25">
      <c r="B12" s="17" t="s">
        <v>95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f t="shared" si="2"/>
        <v>0</v>
      </c>
      <c r="J12" s="53">
        <f>I12</f>
        <v>0</v>
      </c>
      <c r="L12" s="24"/>
    </row>
    <row r="13" spans="2:13" x14ac:dyDescent="0.25">
      <c r="B13" s="16" t="s">
        <v>96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f t="shared" si="2"/>
        <v>0</v>
      </c>
      <c r="J13" s="53">
        <v>0</v>
      </c>
    </row>
    <row r="14" spans="2:13" x14ac:dyDescent="0.25">
      <c r="B14" s="16" t="s">
        <v>97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702.75</v>
      </c>
      <c r="I14" s="51">
        <f t="shared" si="2"/>
        <v>702.75</v>
      </c>
      <c r="J14" s="53">
        <f>I14</f>
        <v>702.75</v>
      </c>
    </row>
    <row r="15" spans="2:13" x14ac:dyDescent="0.25">
      <c r="B15" s="18" t="s">
        <v>174</v>
      </c>
      <c r="C15" s="50">
        <f>SUM(C8:C14)</f>
        <v>1799.64</v>
      </c>
      <c r="D15" s="50">
        <f t="shared" ref="D15:J15" si="3">SUM(D8:D14)</f>
        <v>23815.49</v>
      </c>
      <c r="E15" s="50">
        <f t="shared" si="3"/>
        <v>10454.870000000001</v>
      </c>
      <c r="F15" s="50">
        <f t="shared" si="3"/>
        <v>1515.71</v>
      </c>
      <c r="G15" s="50">
        <f t="shared" si="3"/>
        <v>2148.6</v>
      </c>
      <c r="H15" s="50">
        <f t="shared" si="3"/>
        <v>702.75</v>
      </c>
      <c r="I15" s="50">
        <f>SUM(I8:I14)</f>
        <v>40437.06</v>
      </c>
      <c r="J15" s="54">
        <f t="shared" si="3"/>
        <v>40437.06</v>
      </c>
      <c r="K15" s="24"/>
    </row>
    <row r="16" spans="2:13" ht="15" customHeight="1" x14ac:dyDescent="0.25">
      <c r="B16" s="169" t="s">
        <v>172</v>
      </c>
      <c r="C16" s="170"/>
      <c r="D16" s="170"/>
      <c r="E16" s="170"/>
      <c r="F16" s="170"/>
      <c r="G16" s="170"/>
      <c r="H16" s="170"/>
      <c r="I16" s="170"/>
      <c r="J16" s="171"/>
    </row>
    <row r="17" spans="2:11" x14ac:dyDescent="0.25">
      <c r="B17" s="18" t="s">
        <v>175</v>
      </c>
      <c r="C17" s="50">
        <v>1799.64</v>
      </c>
      <c r="D17" s="50">
        <v>23815.49</v>
      </c>
      <c r="E17" s="50">
        <v>7406.9400000000005</v>
      </c>
      <c r="F17" s="50">
        <v>3047.93</v>
      </c>
      <c r="G17" s="50">
        <f>2144.66+3.94</f>
        <v>2148.6</v>
      </c>
      <c r="H17" s="50">
        <v>0</v>
      </c>
      <c r="I17" s="50">
        <f>SUM(C17:H17)</f>
        <v>38218.6</v>
      </c>
      <c r="J17" s="54">
        <f>I17</f>
        <v>38218.6</v>
      </c>
    </row>
    <row r="18" spans="2:11" x14ac:dyDescent="0.25">
      <c r="B18" s="16" t="s">
        <v>89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3">
        <f>I18</f>
        <v>0</v>
      </c>
    </row>
    <row r="19" spans="2:11" x14ac:dyDescent="0.25">
      <c r="B19" s="16" t="s">
        <v>90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3">
        <f>I19</f>
        <v>0</v>
      </c>
    </row>
    <row r="20" spans="2:11" x14ac:dyDescent="0.25">
      <c r="B20" s="18" t="s">
        <v>91</v>
      </c>
      <c r="C20" s="50">
        <f>C17+C19+C18</f>
        <v>1799.64</v>
      </c>
      <c r="D20" s="50">
        <f t="shared" ref="D20:I20" si="4">D17+D19+D18</f>
        <v>23815.49</v>
      </c>
      <c r="E20" s="50">
        <f t="shared" si="4"/>
        <v>7406.9400000000005</v>
      </c>
      <c r="F20" s="50">
        <f t="shared" si="4"/>
        <v>3047.93</v>
      </c>
      <c r="G20" s="50">
        <f t="shared" si="4"/>
        <v>2148.6</v>
      </c>
      <c r="H20" s="50">
        <f t="shared" si="4"/>
        <v>0</v>
      </c>
      <c r="I20" s="50">
        <f t="shared" si="4"/>
        <v>38218.6</v>
      </c>
      <c r="J20" s="54">
        <f>J17+J19+J18</f>
        <v>38218.6</v>
      </c>
    </row>
    <row r="21" spans="2:11" x14ac:dyDescent="0.25">
      <c r="B21" s="16" t="s">
        <v>92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f>SUM(C21:H21)</f>
        <v>0</v>
      </c>
      <c r="J21" s="53">
        <f>I21</f>
        <v>0</v>
      </c>
    </row>
    <row r="22" spans="2:11" x14ac:dyDescent="0.25">
      <c r="B22" s="16" t="s">
        <v>93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f t="shared" ref="I22:I26" si="5">SUM(C22:H22)</f>
        <v>0</v>
      </c>
      <c r="J22" s="53">
        <f t="shared" ref="J22:J26" si="6">I22</f>
        <v>0</v>
      </c>
    </row>
    <row r="23" spans="2:11" x14ac:dyDescent="0.25">
      <c r="B23" s="16" t="s">
        <v>94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f t="shared" si="5"/>
        <v>0</v>
      </c>
      <c r="J23" s="53">
        <f t="shared" si="6"/>
        <v>0</v>
      </c>
    </row>
    <row r="24" spans="2:11" x14ac:dyDescent="0.25">
      <c r="B24" s="17" t="s">
        <v>95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f t="shared" si="5"/>
        <v>0</v>
      </c>
      <c r="J24" s="53">
        <f t="shared" si="6"/>
        <v>0</v>
      </c>
    </row>
    <row r="25" spans="2:11" x14ac:dyDescent="0.25">
      <c r="B25" s="16" t="s">
        <v>96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f t="shared" si="5"/>
        <v>0</v>
      </c>
      <c r="J25" s="53">
        <f t="shared" si="6"/>
        <v>0</v>
      </c>
    </row>
    <row r="26" spans="2:11" x14ac:dyDescent="0.25">
      <c r="B26" s="16" t="s">
        <v>97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326.85000000000002</v>
      </c>
      <c r="I26" s="51">
        <f t="shared" si="5"/>
        <v>326.85000000000002</v>
      </c>
      <c r="J26" s="53">
        <f t="shared" si="6"/>
        <v>326.85000000000002</v>
      </c>
    </row>
    <row r="27" spans="2:11" ht="15.75" thickBot="1" x14ac:dyDescent="0.3">
      <c r="B27" s="116" t="s">
        <v>176</v>
      </c>
      <c r="C27" s="52">
        <f>SUM(C20:C26)</f>
        <v>1799.64</v>
      </c>
      <c r="D27" s="52">
        <f t="shared" ref="D27:I27" si="7">SUM(D20:D26)</f>
        <v>23815.49</v>
      </c>
      <c r="E27" s="52">
        <f t="shared" si="7"/>
        <v>7406.9400000000005</v>
      </c>
      <c r="F27" s="52">
        <f t="shared" si="7"/>
        <v>3047.93</v>
      </c>
      <c r="G27" s="52">
        <f t="shared" si="7"/>
        <v>2148.6</v>
      </c>
      <c r="H27" s="52">
        <f t="shared" si="7"/>
        <v>326.85000000000002</v>
      </c>
      <c r="I27" s="52">
        <f t="shared" si="7"/>
        <v>38545.449999999997</v>
      </c>
      <c r="J27" s="55">
        <f>I27</f>
        <v>38545.449999999997</v>
      </c>
      <c r="K27" s="24"/>
    </row>
    <row r="28" spans="2:11" ht="15.75" thickTop="1" x14ac:dyDescent="0.25"/>
  </sheetData>
  <mergeCells count="3">
    <mergeCell ref="B4:J4"/>
    <mergeCell ref="B16:J16"/>
    <mergeCell ref="C2:J2"/>
  </mergeCells>
  <pageMargins left="0.11811023622047245" right="0.19685039370078741" top="0.74803149606299213" bottom="0.74803149606299213" header="0.31496062992125984" footer="0.31496062992125984"/>
  <pageSetup paperSize="9" orientation="landscape" r:id="rId1"/>
  <ignoredErrors>
    <ignoredError sqref="J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workbookViewId="0">
      <selection activeCell="L6" sqref="L6"/>
    </sheetView>
  </sheetViews>
  <sheetFormatPr defaultRowHeight="15" x14ac:dyDescent="0.25"/>
  <cols>
    <col min="2" max="2" width="50.7109375" customWidth="1"/>
    <col min="3" max="3" width="15" style="31" customWidth="1"/>
    <col min="4" max="4" width="15.42578125" style="42" customWidth="1"/>
    <col min="5" max="5" width="11.28515625" bestFit="1" customWidth="1"/>
    <col min="6" max="6" width="9.85546875" hidden="1" customWidth="1"/>
    <col min="7" max="7" width="9.140625" hidden="1" customWidth="1"/>
    <col min="8" max="8" width="9.85546875" hidden="1" customWidth="1"/>
    <col min="9" max="9" width="9.140625" hidden="1" customWidth="1"/>
    <col min="10" max="10" width="9.85546875" customWidth="1"/>
  </cols>
  <sheetData>
    <row r="1" spans="2:9" ht="15.75" thickBot="1" x14ac:dyDescent="0.3"/>
    <row r="2" spans="2:9" ht="16.5" thickTop="1" thickBot="1" x14ac:dyDescent="0.3">
      <c r="B2" s="33"/>
      <c r="C2" s="173" t="s">
        <v>29</v>
      </c>
      <c r="D2" s="174"/>
    </row>
    <row r="3" spans="2:9" ht="35.25" thickTop="1" thickBot="1" x14ac:dyDescent="0.3">
      <c r="B3" s="117"/>
      <c r="C3" s="99" t="s">
        <v>164</v>
      </c>
      <c r="D3" s="100" t="s">
        <v>165</v>
      </c>
      <c r="F3" s="58" t="s">
        <v>159</v>
      </c>
      <c r="G3" s="59" t="s">
        <v>160</v>
      </c>
      <c r="H3" s="58" t="s">
        <v>161</v>
      </c>
      <c r="I3" s="59" t="s">
        <v>162</v>
      </c>
    </row>
    <row r="4" spans="2:9" ht="15.75" thickTop="1" x14ac:dyDescent="0.25">
      <c r="B4" s="34" t="s">
        <v>127</v>
      </c>
      <c r="C4" s="118"/>
      <c r="D4" s="125"/>
      <c r="F4" s="60"/>
      <c r="G4" s="61"/>
      <c r="H4" s="60"/>
      <c r="I4" s="61"/>
    </row>
    <row r="5" spans="2:9" x14ac:dyDescent="0.25">
      <c r="B5" s="35" t="s">
        <v>132</v>
      </c>
      <c r="C5" s="119">
        <f>'[1]RZiS GK'!C21</f>
        <v>702.74999999999534</v>
      </c>
      <c r="D5" s="126">
        <v>326.85000000000002</v>
      </c>
      <c r="E5" s="57"/>
      <c r="F5" s="62">
        <v>1139.44</v>
      </c>
      <c r="G5" s="63" t="e">
        <f>#REF!-F5</f>
        <v>#REF!</v>
      </c>
      <c r="H5" s="62">
        <v>2693.95</v>
      </c>
      <c r="I5" s="63" t="e">
        <f>#REF!-H5</f>
        <v>#REF!</v>
      </c>
    </row>
    <row r="6" spans="2:9" x14ac:dyDescent="0.25">
      <c r="B6" s="35" t="s">
        <v>133</v>
      </c>
      <c r="C6" s="119">
        <f>SUM(C7:C16)</f>
        <v>-7713.170000000001</v>
      </c>
      <c r="D6" s="126">
        <f t="shared" ref="D6" si="0">SUM(D7:D16)</f>
        <v>95.210000000000605</v>
      </c>
      <c r="E6" s="56"/>
      <c r="F6" s="64">
        <f>SUM(F7:F16)</f>
        <v>2899.1000000000004</v>
      </c>
      <c r="G6" s="63" t="e">
        <f>#REF!-F6</f>
        <v>#REF!</v>
      </c>
      <c r="H6" s="64">
        <f>SUM(H7:H16)</f>
        <v>-2166.4300000000003</v>
      </c>
      <c r="I6" s="63" t="e">
        <f>#REF!-H6</f>
        <v>#REF!</v>
      </c>
    </row>
    <row r="7" spans="2:9" ht="22.5" x14ac:dyDescent="0.25">
      <c r="B7" s="36" t="s">
        <v>134</v>
      </c>
      <c r="C7" s="120">
        <v>796.24</v>
      </c>
      <c r="D7" s="127">
        <v>779.05</v>
      </c>
      <c r="E7" s="37"/>
      <c r="F7" s="65">
        <v>2342.4</v>
      </c>
      <c r="G7" s="63" t="e">
        <f>#REF!-F7</f>
        <v>#REF!</v>
      </c>
      <c r="H7" s="65">
        <v>2450.75</v>
      </c>
      <c r="I7" s="63" t="e">
        <f>#REF!-H7</f>
        <v>#REF!</v>
      </c>
    </row>
    <row r="8" spans="2:9" x14ac:dyDescent="0.25">
      <c r="B8" s="36" t="s">
        <v>135</v>
      </c>
      <c r="C8" s="120">
        <v>91</v>
      </c>
      <c r="D8" s="127">
        <v>169.22</v>
      </c>
      <c r="F8" s="66">
        <v>103.26</v>
      </c>
      <c r="G8" s="63" t="e">
        <f>#REF!-F8</f>
        <v>#REF!</v>
      </c>
      <c r="H8" s="66">
        <v>-406.4</v>
      </c>
      <c r="I8" s="63" t="e">
        <f>#REF!-H8</f>
        <v>#REF!</v>
      </c>
    </row>
    <row r="9" spans="2:9" x14ac:dyDescent="0.25">
      <c r="B9" s="36" t="s">
        <v>136</v>
      </c>
      <c r="C9" s="120">
        <v>180.31</v>
      </c>
      <c r="D9" s="127">
        <v>203.73</v>
      </c>
      <c r="F9" s="66">
        <v>0</v>
      </c>
      <c r="G9" s="63" t="e">
        <f>#REF!-F9</f>
        <v>#REF!</v>
      </c>
      <c r="H9" s="66">
        <v>-1799.64</v>
      </c>
      <c r="I9" s="63" t="e">
        <f>#REF!-H9</f>
        <v>#REF!</v>
      </c>
    </row>
    <row r="10" spans="2:9" x14ac:dyDescent="0.25">
      <c r="B10" s="36" t="s">
        <v>137</v>
      </c>
      <c r="C10" s="120">
        <v>0</v>
      </c>
      <c r="D10" s="127">
        <v>0</v>
      </c>
      <c r="F10" s="66">
        <v>0</v>
      </c>
      <c r="G10" s="63" t="e">
        <f>#REF!-F10</f>
        <v>#REF!</v>
      </c>
      <c r="H10" s="66">
        <v>-15</v>
      </c>
      <c r="I10" s="63" t="e">
        <f>#REF!-H10</f>
        <v>#REF!</v>
      </c>
    </row>
    <row r="11" spans="2:9" x14ac:dyDescent="0.25">
      <c r="B11" s="36" t="s">
        <v>138</v>
      </c>
      <c r="C11" s="120">
        <v>-177.49</v>
      </c>
      <c r="D11" s="127">
        <v>-189.09</v>
      </c>
      <c r="F11" s="66">
        <v>458.28</v>
      </c>
      <c r="G11" s="63" t="e">
        <f>#REF!-F11</f>
        <v>#REF!</v>
      </c>
      <c r="H11" s="66">
        <v>354.06</v>
      </c>
      <c r="I11" s="63" t="e">
        <f>#REF!-H11</f>
        <v>#REF!</v>
      </c>
    </row>
    <row r="12" spans="2:9" x14ac:dyDescent="0.25">
      <c r="B12" s="36" t="s">
        <v>139</v>
      </c>
      <c r="C12" s="120">
        <v>403.01</v>
      </c>
      <c r="D12" s="127">
        <v>-1442.98</v>
      </c>
      <c r="F12" s="66">
        <v>-3657.07</v>
      </c>
      <c r="G12" s="63" t="e">
        <f>#REF!-F12</f>
        <v>#REF!</v>
      </c>
      <c r="H12" s="66">
        <v>-4246.87</v>
      </c>
      <c r="I12" s="63" t="e">
        <f>#REF!-H12</f>
        <v>#REF!</v>
      </c>
    </row>
    <row r="13" spans="2:9" x14ac:dyDescent="0.25">
      <c r="B13" s="36" t="s">
        <v>140</v>
      </c>
      <c r="C13" s="120">
        <v>-4735.7700000000004</v>
      </c>
      <c r="D13" s="127">
        <v>5846.21</v>
      </c>
      <c r="F13" s="66">
        <v>-717.75</v>
      </c>
      <c r="G13" s="63" t="e">
        <f>#REF!-F13</f>
        <v>#REF!</v>
      </c>
      <c r="H13" s="66">
        <v>793.42</v>
      </c>
      <c r="I13" s="63" t="e">
        <f>#REF!-H13</f>
        <v>#REF!</v>
      </c>
    </row>
    <row r="14" spans="2:9" ht="22.5" x14ac:dyDescent="0.25">
      <c r="B14" s="36" t="s">
        <v>141</v>
      </c>
      <c r="C14" s="120">
        <v>-5630.67</v>
      </c>
      <c r="D14" s="127">
        <v>-5537.28</v>
      </c>
      <c r="F14" s="66">
        <v>5115.09</v>
      </c>
      <c r="G14" s="63" t="e">
        <f>#REF!-F14</f>
        <v>#REF!</v>
      </c>
      <c r="H14" s="66">
        <v>1242.94</v>
      </c>
      <c r="I14" s="63" t="e">
        <f>#REF!-H14</f>
        <v>#REF!</v>
      </c>
    </row>
    <row r="15" spans="2:9" x14ac:dyDescent="0.25">
      <c r="B15" s="36" t="s">
        <v>142</v>
      </c>
      <c r="C15" s="120">
        <f>1362.6-2.4</f>
        <v>1360.1999999999998</v>
      </c>
      <c r="D15" s="127">
        <v>266.35000000000002</v>
      </c>
      <c r="F15" s="66">
        <v>-745.11</v>
      </c>
      <c r="G15" s="63" t="e">
        <f>#REF!-F15</f>
        <v>#REF!</v>
      </c>
      <c r="H15" s="66">
        <v>-599.42999999999995</v>
      </c>
      <c r="I15" s="63" t="e">
        <f>#REF!-H15</f>
        <v>#REF!</v>
      </c>
    </row>
    <row r="16" spans="2:9" x14ac:dyDescent="0.25">
      <c r="B16" s="36" t="s">
        <v>143</v>
      </c>
      <c r="C16" s="120">
        <v>0</v>
      </c>
      <c r="D16" s="127">
        <v>0</v>
      </c>
      <c r="F16" s="66">
        <v>0</v>
      </c>
      <c r="G16" s="63" t="e">
        <f>#REF!-F16</f>
        <v>#REF!</v>
      </c>
      <c r="H16" s="66">
        <v>59.74</v>
      </c>
      <c r="I16" s="63" t="e">
        <f>#REF!-H16</f>
        <v>#REF!</v>
      </c>
    </row>
    <row r="17" spans="2:10" ht="22.5" x14ac:dyDescent="0.25">
      <c r="B17" s="38" t="s">
        <v>144</v>
      </c>
      <c r="C17" s="121">
        <f>C5+C6</f>
        <v>-7010.4200000000055</v>
      </c>
      <c r="D17" s="128">
        <f t="shared" ref="D17" si="1">D5+D6</f>
        <v>422.06000000000063</v>
      </c>
      <c r="E17" s="57"/>
      <c r="F17" s="67">
        <f>F5+F6</f>
        <v>4038.5400000000004</v>
      </c>
      <c r="G17" s="63" t="e">
        <f>#REF!-F17</f>
        <v>#REF!</v>
      </c>
      <c r="H17" s="67">
        <f>H5+H6</f>
        <v>527.51999999999953</v>
      </c>
      <c r="I17" s="63" t="e">
        <f>#REF!-H17</f>
        <v>#REF!</v>
      </c>
      <c r="J17" s="57"/>
    </row>
    <row r="18" spans="2:10" x14ac:dyDescent="0.25">
      <c r="B18" s="34" t="s">
        <v>128</v>
      </c>
      <c r="C18" s="121"/>
      <c r="D18" s="128"/>
      <c r="F18" s="68"/>
      <c r="G18" s="63" t="e">
        <f>#REF!-F18</f>
        <v>#REF!</v>
      </c>
      <c r="H18" s="68"/>
      <c r="I18" s="63" t="e">
        <f>#REF!-H18</f>
        <v>#REF!</v>
      </c>
    </row>
    <row r="19" spans="2:10" x14ac:dyDescent="0.25">
      <c r="B19" s="35" t="s">
        <v>129</v>
      </c>
      <c r="C19" s="119">
        <f>SUM(C20:C23)</f>
        <v>2.75</v>
      </c>
      <c r="D19" s="126">
        <f>SUM(D20:D23)</f>
        <v>0</v>
      </c>
      <c r="F19" s="64">
        <f>F20+F21+F22+F23</f>
        <v>26.47</v>
      </c>
      <c r="G19" s="63" t="e">
        <f>#REF!-F19</f>
        <v>#REF!</v>
      </c>
      <c r="H19" s="64">
        <f>H20+H21+H22+H23</f>
        <v>14.77</v>
      </c>
      <c r="I19" s="63" t="e">
        <f>#REF!-H19</f>
        <v>#REF!</v>
      </c>
    </row>
    <row r="20" spans="2:10" ht="22.5" x14ac:dyDescent="0.25">
      <c r="B20" s="36" t="s">
        <v>145</v>
      </c>
      <c r="C20" s="120">
        <v>2.75</v>
      </c>
      <c r="D20" s="127">
        <v>0</v>
      </c>
      <c r="F20" s="69">
        <v>26.47</v>
      </c>
      <c r="G20" s="63" t="e">
        <f>#REF!-F20</f>
        <v>#REF!</v>
      </c>
      <c r="H20" s="69">
        <v>14.77</v>
      </c>
      <c r="I20" s="63" t="e">
        <f>#REF!-H20</f>
        <v>#REF!</v>
      </c>
    </row>
    <row r="21" spans="2:10" ht="22.5" x14ac:dyDescent="0.25">
      <c r="B21" s="36" t="s">
        <v>146</v>
      </c>
      <c r="C21" s="120">
        <v>0</v>
      </c>
      <c r="D21" s="127">
        <v>0</v>
      </c>
      <c r="F21" s="69">
        <v>0</v>
      </c>
      <c r="G21" s="63" t="e">
        <f>#REF!-F21</f>
        <v>#REF!</v>
      </c>
      <c r="H21" s="69">
        <v>0</v>
      </c>
      <c r="I21" s="63" t="e">
        <f>#REF!-H21</f>
        <v>#REF!</v>
      </c>
    </row>
    <row r="22" spans="2:10" x14ac:dyDescent="0.25">
      <c r="B22" s="36" t="s">
        <v>147</v>
      </c>
      <c r="C22" s="120">
        <v>0</v>
      </c>
      <c r="D22" s="127">
        <v>0</v>
      </c>
      <c r="F22" s="69">
        <v>0</v>
      </c>
      <c r="G22" s="63" t="e">
        <f>#REF!-F22</f>
        <v>#REF!</v>
      </c>
      <c r="H22" s="69">
        <v>0</v>
      </c>
      <c r="I22" s="63" t="e">
        <f>#REF!-H22</f>
        <v>#REF!</v>
      </c>
    </row>
    <row r="23" spans="2:10" x14ac:dyDescent="0.25">
      <c r="B23" s="36" t="s">
        <v>148</v>
      </c>
      <c r="C23" s="120">
        <v>0</v>
      </c>
      <c r="D23" s="127">
        <v>0</v>
      </c>
      <c r="F23" s="69">
        <v>0</v>
      </c>
      <c r="G23" s="63" t="e">
        <f>#REF!-F23</f>
        <v>#REF!</v>
      </c>
      <c r="H23" s="69">
        <v>0</v>
      </c>
      <c r="I23" s="63" t="e">
        <f>#REF!-H23</f>
        <v>#REF!</v>
      </c>
    </row>
    <row r="24" spans="2:10" x14ac:dyDescent="0.25">
      <c r="B24" s="35" t="s">
        <v>130</v>
      </c>
      <c r="C24" s="119">
        <f>SUM(C25:C28)</f>
        <v>380.77</v>
      </c>
      <c r="D24" s="126">
        <f>D25+D26+D27+D28</f>
        <v>474.30999999999995</v>
      </c>
      <c r="F24" s="64">
        <f>F25+F26+F27+F28</f>
        <v>2957.2400000000002</v>
      </c>
      <c r="G24" s="63" t="e">
        <f>#REF!-F24</f>
        <v>#REF!</v>
      </c>
      <c r="H24" s="64">
        <f>H25+H26+H27+H28</f>
        <v>1936.23</v>
      </c>
      <c r="I24" s="63" t="e">
        <f>#REF!-H24</f>
        <v>#REF!</v>
      </c>
    </row>
    <row r="25" spans="2:10" ht="22.5" x14ac:dyDescent="0.25">
      <c r="B25" s="36" t="s">
        <v>149</v>
      </c>
      <c r="C25" s="120">
        <v>251.4</v>
      </c>
      <c r="D25" s="127">
        <v>52.91</v>
      </c>
      <c r="F25" s="69">
        <v>2232.92</v>
      </c>
      <c r="G25" s="63" t="e">
        <f>#REF!-F25</f>
        <v>#REF!</v>
      </c>
      <c r="H25" s="69">
        <v>1728.59</v>
      </c>
      <c r="I25" s="63" t="e">
        <f>#REF!-H25</f>
        <v>#REF!</v>
      </c>
    </row>
    <row r="26" spans="2:10" ht="22.5" x14ac:dyDescent="0.25">
      <c r="B26" s="36" t="s">
        <v>150</v>
      </c>
      <c r="C26" s="120">
        <v>0</v>
      </c>
      <c r="D26" s="127">
        <v>0</v>
      </c>
      <c r="F26" s="69">
        <v>0</v>
      </c>
      <c r="G26" s="63" t="e">
        <f>#REF!-F26</f>
        <v>#REF!</v>
      </c>
      <c r="H26" s="69">
        <v>0</v>
      </c>
      <c r="I26" s="63" t="e">
        <f>#REF!-H26</f>
        <v>#REF!</v>
      </c>
    </row>
    <row r="27" spans="2:10" x14ac:dyDescent="0.25">
      <c r="B27" s="36" t="s">
        <v>163</v>
      </c>
      <c r="C27" s="120">
        <v>129.37</v>
      </c>
      <c r="D27" s="127">
        <v>421.4</v>
      </c>
      <c r="F27" s="70">
        <v>724.32</v>
      </c>
      <c r="G27" s="63" t="e">
        <f>#REF!-F27</f>
        <v>#REF!</v>
      </c>
      <c r="H27" s="70">
        <v>207.64</v>
      </c>
      <c r="I27" s="63" t="e">
        <f>#REF!-H27</f>
        <v>#REF!</v>
      </c>
    </row>
    <row r="28" spans="2:10" x14ac:dyDescent="0.25">
      <c r="B28" s="36" t="s">
        <v>151</v>
      </c>
      <c r="C28" s="120">
        <v>0</v>
      </c>
      <c r="D28" s="127">
        <v>0</v>
      </c>
      <c r="F28" s="70">
        <v>0</v>
      </c>
      <c r="G28" s="63" t="e">
        <f>#REF!-F28</f>
        <v>#REF!</v>
      </c>
      <c r="H28" s="70">
        <v>0</v>
      </c>
      <c r="I28" s="63" t="e">
        <f>#REF!-H28</f>
        <v>#REF!</v>
      </c>
    </row>
    <row r="29" spans="2:10" ht="22.5" x14ac:dyDescent="0.25">
      <c r="B29" s="38" t="s">
        <v>152</v>
      </c>
      <c r="C29" s="121">
        <f>C19-C24</f>
        <v>-378.02</v>
      </c>
      <c r="D29" s="128">
        <f>D19-D24</f>
        <v>-474.30999999999995</v>
      </c>
      <c r="F29" s="67">
        <f>F19-F24</f>
        <v>-2930.7700000000004</v>
      </c>
      <c r="G29" s="63" t="e">
        <f>#REF!-F29</f>
        <v>#REF!</v>
      </c>
      <c r="H29" s="67">
        <f>H19-H24</f>
        <v>-1921.46</v>
      </c>
      <c r="I29" s="63" t="e">
        <f>#REF!-H29</f>
        <v>#REF!</v>
      </c>
    </row>
    <row r="30" spans="2:10" x14ac:dyDescent="0.25">
      <c r="B30" s="34" t="s">
        <v>131</v>
      </c>
      <c r="C30" s="121"/>
      <c r="D30" s="128"/>
      <c r="F30" s="71"/>
      <c r="G30" s="63" t="e">
        <f>#REF!-F30</f>
        <v>#REF!</v>
      </c>
      <c r="H30" s="71"/>
      <c r="I30" s="63" t="e">
        <f>#REF!-H30</f>
        <v>#REF!</v>
      </c>
    </row>
    <row r="31" spans="2:10" x14ac:dyDescent="0.25">
      <c r="B31" s="35" t="s">
        <v>129</v>
      </c>
      <c r="C31" s="119">
        <v>6350.08</v>
      </c>
      <c r="D31" s="127">
        <v>119.46</v>
      </c>
      <c r="F31" s="69">
        <v>1212.4000000000001</v>
      </c>
      <c r="G31" s="63" t="e">
        <f>#REF!-F31</f>
        <v>#REF!</v>
      </c>
      <c r="H31" s="69">
        <v>3255.17</v>
      </c>
      <c r="I31" s="63" t="e">
        <f>#REF!-H31</f>
        <v>#REF!</v>
      </c>
    </row>
    <row r="32" spans="2:10" x14ac:dyDescent="0.25">
      <c r="B32" s="35" t="s">
        <v>130</v>
      </c>
      <c r="C32" s="119">
        <v>1070.1400000000001</v>
      </c>
      <c r="D32" s="127">
        <v>723.65</v>
      </c>
      <c r="F32" s="69">
        <v>2580.9499999999998</v>
      </c>
      <c r="G32" s="63" t="e">
        <f>#REF!-F32</f>
        <v>#REF!</v>
      </c>
      <c r="H32" s="69">
        <v>2523.48</v>
      </c>
      <c r="I32" s="63" t="e">
        <f>#REF!-H32</f>
        <v>#REF!</v>
      </c>
    </row>
    <row r="33" spans="2:9" x14ac:dyDescent="0.25">
      <c r="B33" s="38" t="s">
        <v>153</v>
      </c>
      <c r="C33" s="121">
        <f>C31-C32</f>
        <v>5279.94</v>
      </c>
      <c r="D33" s="128">
        <f t="shared" ref="D33" si="2">D31-D32</f>
        <v>-604.18999999999994</v>
      </c>
      <c r="F33" s="67">
        <f t="shared" ref="F33:H33" si="3">F31-F32</f>
        <v>-1368.5499999999997</v>
      </c>
      <c r="G33" s="63" t="e">
        <f>#REF!-F33</f>
        <v>#REF!</v>
      </c>
      <c r="H33" s="67">
        <f t="shared" si="3"/>
        <v>731.69</v>
      </c>
      <c r="I33" s="63" t="e">
        <f>#REF!-H33</f>
        <v>#REF!</v>
      </c>
    </row>
    <row r="34" spans="2:9" x14ac:dyDescent="0.25">
      <c r="B34" s="34" t="s">
        <v>154</v>
      </c>
      <c r="C34" s="121">
        <f>C33+C29+C17</f>
        <v>-2108.5000000000055</v>
      </c>
      <c r="D34" s="128">
        <f>D33+D29+D17</f>
        <v>-656.43999999999937</v>
      </c>
      <c r="F34" s="72">
        <f>F33+F29+F17</f>
        <v>-260.77999999999929</v>
      </c>
      <c r="G34" s="63" t="e">
        <f>#REF!-F34</f>
        <v>#REF!</v>
      </c>
      <c r="H34" s="72">
        <f>H33+H29+H17</f>
        <v>-662.25000000000045</v>
      </c>
      <c r="I34" s="63" t="e">
        <f>#REF!-H34</f>
        <v>#REF!</v>
      </c>
    </row>
    <row r="35" spans="2:9" x14ac:dyDescent="0.25">
      <c r="B35" s="34" t="s">
        <v>155</v>
      </c>
      <c r="C35" s="124">
        <f>C38-C37</f>
        <v>-2108.5</v>
      </c>
      <c r="D35" s="122">
        <f>D38-D37</f>
        <v>-656.43999999999994</v>
      </c>
      <c r="E35" s="57"/>
      <c r="F35" s="73">
        <f>F38-F37</f>
        <v>74.960000000000036</v>
      </c>
      <c r="G35" s="63" t="e">
        <f>#REF!-F35</f>
        <v>#REF!</v>
      </c>
      <c r="H35" s="73">
        <f>H38-H37</f>
        <v>-662.25</v>
      </c>
      <c r="I35" s="63" t="e">
        <f>#REF!-H35</f>
        <v>#REF!</v>
      </c>
    </row>
    <row r="36" spans="2:9" ht="22.5" x14ac:dyDescent="0.25">
      <c r="B36" s="39" t="s">
        <v>156</v>
      </c>
      <c r="C36" s="120">
        <v>0</v>
      </c>
      <c r="D36" s="127">
        <v>0</v>
      </c>
      <c r="F36" s="69">
        <v>0</v>
      </c>
      <c r="G36" s="63" t="e">
        <f>#REF!-F36</f>
        <v>#REF!</v>
      </c>
      <c r="H36" s="69">
        <v>0</v>
      </c>
      <c r="I36" s="63" t="e">
        <f>#REF!-H36</f>
        <v>#REF!</v>
      </c>
    </row>
    <row r="37" spans="2:9" x14ac:dyDescent="0.25">
      <c r="B37" s="34" t="s">
        <v>126</v>
      </c>
      <c r="C37" s="121">
        <v>3641.53</v>
      </c>
      <c r="D37" s="122">
        <v>1239.04</v>
      </c>
      <c r="F37" s="73">
        <v>889.91</v>
      </c>
      <c r="G37" s="63" t="e">
        <f>#REF!-F37</f>
        <v>#REF!</v>
      </c>
      <c r="H37" s="73">
        <v>1098.0899999999999</v>
      </c>
      <c r="I37" s="63" t="e">
        <f>#REF!-H37</f>
        <v>#REF!</v>
      </c>
    </row>
    <row r="38" spans="2:9" x14ac:dyDescent="0.25">
      <c r="B38" s="34" t="s">
        <v>157</v>
      </c>
      <c r="C38" s="121">
        <v>1533.03</v>
      </c>
      <c r="D38" s="122">
        <v>582.6</v>
      </c>
      <c r="F38" s="73">
        <v>964.87</v>
      </c>
      <c r="G38" s="63" t="e">
        <f>#REF!-F38</f>
        <v>#REF!</v>
      </c>
      <c r="H38" s="73">
        <v>435.84</v>
      </c>
      <c r="I38" s="63" t="e">
        <f>#REF!-H38</f>
        <v>#REF!</v>
      </c>
    </row>
    <row r="39" spans="2:9" ht="15.75" thickBot="1" x14ac:dyDescent="0.3">
      <c r="B39" s="40" t="s">
        <v>158</v>
      </c>
      <c r="C39" s="123">
        <v>0</v>
      </c>
      <c r="D39" s="129">
        <v>0</v>
      </c>
      <c r="F39" s="74">
        <v>0</v>
      </c>
      <c r="G39" s="63" t="e">
        <f>#REF!-F39</f>
        <v>#REF!</v>
      </c>
      <c r="H39" s="74">
        <v>0</v>
      </c>
      <c r="I39" s="63" t="e">
        <f>#REF!-H39</f>
        <v>#REF!</v>
      </c>
    </row>
    <row r="40" spans="2:9" ht="15.75" thickTop="1" x14ac:dyDescent="0.25">
      <c r="F40" s="31"/>
      <c r="H40" s="31"/>
    </row>
    <row r="41" spans="2:9" x14ac:dyDescent="0.25">
      <c r="C41" s="85"/>
      <c r="D41" s="75"/>
    </row>
  </sheetData>
  <mergeCells count="1"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2"/>
  <sheetViews>
    <sheetView zoomScaleNormal="100" workbookViewId="0">
      <selection activeCell="B2" sqref="B2"/>
    </sheetView>
  </sheetViews>
  <sheetFormatPr defaultRowHeight="15" x14ac:dyDescent="0.25"/>
  <cols>
    <col min="2" max="2" width="39.28515625" customWidth="1"/>
    <col min="3" max="7" width="10.140625" customWidth="1"/>
  </cols>
  <sheetData>
    <row r="2" spans="2:11" ht="15.75" thickBot="1" x14ac:dyDescent="0.3"/>
    <row r="3" spans="2:11" ht="15" customHeight="1" thickTop="1" x14ac:dyDescent="0.25">
      <c r="B3" s="175"/>
      <c r="C3" s="130" t="s">
        <v>166</v>
      </c>
      <c r="D3" s="131" t="s">
        <v>166</v>
      </c>
      <c r="E3" s="131" t="s">
        <v>166</v>
      </c>
      <c r="F3" s="131" t="s">
        <v>166</v>
      </c>
      <c r="G3" s="177" t="s">
        <v>98</v>
      </c>
    </row>
    <row r="4" spans="2:11" ht="15.75" thickBot="1" x14ac:dyDescent="0.3">
      <c r="B4" s="176"/>
      <c r="C4" s="132" t="s">
        <v>167</v>
      </c>
      <c r="D4" s="19" t="s">
        <v>99</v>
      </c>
      <c r="E4" s="19" t="s">
        <v>168</v>
      </c>
      <c r="F4" s="19" t="s">
        <v>100</v>
      </c>
      <c r="G4" s="178"/>
    </row>
    <row r="5" spans="2:11" ht="15.75" thickTop="1" x14ac:dyDescent="0.25">
      <c r="B5" s="142" t="s">
        <v>0</v>
      </c>
      <c r="C5" s="76">
        <f>'RZiS GK'!C4</f>
        <v>26364.159999999996</v>
      </c>
      <c r="D5" s="76">
        <f>'RZiS GK'!D4</f>
        <v>22245.059999999998</v>
      </c>
      <c r="E5" s="78">
        <f>C5/'Kursy walut'!$D$6</f>
        <v>6320.3701483949844</v>
      </c>
      <c r="F5" s="76">
        <f>D5/'Kursy walut'!$D$5</f>
        <v>5325.0969502561402</v>
      </c>
      <c r="G5" s="134">
        <f>(C5/D5)*100</f>
        <v>118.51692016115038</v>
      </c>
      <c r="I5" s="24"/>
    </row>
    <row r="6" spans="2:11" x14ac:dyDescent="0.25">
      <c r="B6" s="135" t="s">
        <v>101</v>
      </c>
      <c r="C6" s="77">
        <f>'Rach.przep.pienięż GK'!C7</f>
        <v>796.24</v>
      </c>
      <c r="D6" s="77">
        <f>'Rach.przep.pienięż GK'!D7</f>
        <v>779.05</v>
      </c>
      <c r="E6" s="79">
        <f>C6/'Kursy walut'!$D$6</f>
        <v>190.88533550691633</v>
      </c>
      <c r="F6" s="77">
        <f>D6/'Kursy walut'!$D$5</f>
        <v>186.49159764446787</v>
      </c>
      <c r="G6" s="136">
        <f t="shared" ref="G6:G13" si="0">(C6/D6)*100</f>
        <v>102.20653359861372</v>
      </c>
    </row>
    <row r="7" spans="2:11" x14ac:dyDescent="0.25">
      <c r="B7" s="133" t="s">
        <v>102</v>
      </c>
      <c r="C7" s="76">
        <f>'RZiS GK'!C10</f>
        <v>7911.9799999999959</v>
      </c>
      <c r="D7" s="76">
        <f>'RZiS GK'!D10</f>
        <v>6812.5699999999979</v>
      </c>
      <c r="E7" s="78">
        <f>C7/'Kursy walut'!$D$6</f>
        <v>1896.7659962122113</v>
      </c>
      <c r="F7" s="76">
        <f>D7/'Kursy walut'!$D$5</f>
        <v>1630.8158184516681</v>
      </c>
      <c r="G7" s="134">
        <f t="shared" si="0"/>
        <v>116.13796261909968</v>
      </c>
    </row>
    <row r="8" spans="2:11" x14ac:dyDescent="0.25">
      <c r="B8" s="135" t="s">
        <v>103</v>
      </c>
      <c r="C8" s="77">
        <v>825.24</v>
      </c>
      <c r="D8" s="77">
        <v>564.91</v>
      </c>
      <c r="E8" s="79">
        <f>C8/'Kursy walut'!$D$6</f>
        <v>197.83760458370296</v>
      </c>
      <c r="F8" s="77">
        <f>D8/'Kursy walut'!$D$5</f>
        <v>135.23004739790301</v>
      </c>
      <c r="G8" s="136">
        <f t="shared" si="0"/>
        <v>146.08344692074843</v>
      </c>
    </row>
    <row r="9" spans="2:11" x14ac:dyDescent="0.25">
      <c r="B9" s="133" t="s">
        <v>104</v>
      </c>
      <c r="C9" s="76">
        <f>'RZiS GK'!C17</f>
        <v>913.32999999999538</v>
      </c>
      <c r="D9" s="76">
        <f>'RZiS GK'!D17</f>
        <v>659.61999999999796</v>
      </c>
      <c r="E9" s="78">
        <f>C9/'Kursy walut'!$D$6</f>
        <v>218.95572123798229</v>
      </c>
      <c r="F9" s="76">
        <f>D9/'Kursy walut'!$D$5</f>
        <v>157.90204433379566</v>
      </c>
      <c r="G9" s="134">
        <f t="shared" si="0"/>
        <v>138.46305448591588</v>
      </c>
    </row>
    <row r="10" spans="2:11" x14ac:dyDescent="0.25">
      <c r="B10" s="135" t="s">
        <v>105</v>
      </c>
      <c r="C10" s="77">
        <f>'RZiS GK'!C21</f>
        <v>702.74999999999534</v>
      </c>
      <c r="D10" s="77">
        <f>'RZiS GK'!D21</f>
        <v>326.84999999999798</v>
      </c>
      <c r="E10" s="79">
        <f>C10/'Kursy walut'!$D$6</f>
        <v>168.47265840385381</v>
      </c>
      <c r="F10" s="77">
        <f>D10/'Kursy walut'!$D$5</f>
        <v>78.242447455354522</v>
      </c>
      <c r="G10" s="136">
        <f t="shared" si="0"/>
        <v>215.00688389169335</v>
      </c>
      <c r="J10" s="161"/>
      <c r="K10" s="161"/>
    </row>
    <row r="11" spans="2:11" x14ac:dyDescent="0.25">
      <c r="B11" s="133" t="s">
        <v>106</v>
      </c>
      <c r="C11" s="78">
        <f>C6+C9</f>
        <v>1709.5699999999954</v>
      </c>
      <c r="D11" s="78">
        <f>D6+D9</f>
        <v>1438.6699999999978</v>
      </c>
      <c r="E11" s="78">
        <f>C11/'Kursy walut'!$D$6</f>
        <v>409.84105674489859</v>
      </c>
      <c r="F11" s="76">
        <f>D11/'Kursy walut'!$D$5</f>
        <v>344.39364197826347</v>
      </c>
      <c r="G11" s="134">
        <f t="shared" si="0"/>
        <v>118.82989149700751</v>
      </c>
    </row>
    <row r="12" spans="2:11" x14ac:dyDescent="0.25">
      <c r="B12" s="135" t="s">
        <v>107</v>
      </c>
      <c r="C12" s="79">
        <f>C10</f>
        <v>702.74999999999534</v>
      </c>
      <c r="D12" s="79">
        <f>D10</f>
        <v>326.84999999999798</v>
      </c>
      <c r="E12" s="79">
        <f>C12/'Kursy walut'!$D$6</f>
        <v>168.47265840385381</v>
      </c>
      <c r="F12" s="77">
        <f>D12/'Kursy walut'!$D$5</f>
        <v>78.242447455354522</v>
      </c>
      <c r="G12" s="136">
        <f t="shared" si="0"/>
        <v>215.00688389169335</v>
      </c>
    </row>
    <row r="13" spans="2:11" x14ac:dyDescent="0.25">
      <c r="B13" s="133" t="s">
        <v>22</v>
      </c>
      <c r="C13" s="78">
        <f>C12</f>
        <v>702.74999999999534</v>
      </c>
      <c r="D13" s="78">
        <f>D12</f>
        <v>326.84999999999798</v>
      </c>
      <c r="E13" s="78">
        <f>C13/'Kursy walut'!$D$6</f>
        <v>168.47265840385381</v>
      </c>
      <c r="F13" s="76">
        <f>D13/'Kursy walut'!$D$5</f>
        <v>78.242447455354522</v>
      </c>
      <c r="G13" s="134">
        <f t="shared" si="0"/>
        <v>215.00688389169335</v>
      </c>
    </row>
    <row r="14" spans="2:11" ht="15" customHeight="1" x14ac:dyDescent="0.25">
      <c r="B14" s="179"/>
      <c r="C14" s="21" t="s">
        <v>177</v>
      </c>
      <c r="D14" s="21" t="s">
        <v>177</v>
      </c>
      <c r="E14" s="21" t="s">
        <v>177</v>
      </c>
      <c r="F14" s="21" t="s">
        <v>177</v>
      </c>
      <c r="G14" s="178" t="s">
        <v>98</v>
      </c>
    </row>
    <row r="15" spans="2:11" x14ac:dyDescent="0.25">
      <c r="B15" s="180"/>
      <c r="C15" s="19" t="s">
        <v>167</v>
      </c>
      <c r="D15" s="19" t="s">
        <v>99</v>
      </c>
      <c r="E15" s="19" t="s">
        <v>168</v>
      </c>
      <c r="F15" s="19" t="s">
        <v>100</v>
      </c>
      <c r="G15" s="178"/>
    </row>
    <row r="16" spans="2:11" x14ac:dyDescent="0.25">
      <c r="B16" s="135" t="s">
        <v>108</v>
      </c>
      <c r="C16" s="80">
        <f>C17+C18</f>
        <v>84805.15</v>
      </c>
      <c r="D16" s="80">
        <f t="shared" ref="D16" si="1">D17+D18</f>
        <v>71814.17</v>
      </c>
      <c r="E16" s="80">
        <f>C17/'Kursy walut'!$C$6</f>
        <v>7812.3120255883905</v>
      </c>
      <c r="F16" s="80">
        <f>D16/'Kursy walut'!$C$5</f>
        <v>17205.944223489387</v>
      </c>
      <c r="G16" s="137">
        <f>(C16/D16)*100</f>
        <v>118.08971683443532</v>
      </c>
    </row>
    <row r="17" spans="2:11" x14ac:dyDescent="0.25">
      <c r="B17" s="133" t="s">
        <v>30</v>
      </c>
      <c r="C17" s="81">
        <f>'Bilans GK'!C4</f>
        <v>32728.9</v>
      </c>
      <c r="D17" s="81">
        <f>'Bilans GK'!D4</f>
        <v>30495.93</v>
      </c>
      <c r="E17" s="81">
        <f>C18/'Kursy walut'!$C$6</f>
        <v>12430.479304912398</v>
      </c>
      <c r="F17" s="81">
        <f>D17/'Kursy walut'!$C$5</f>
        <v>7306.5144472662805</v>
      </c>
      <c r="G17" s="138">
        <f t="shared" ref="G17:G28" si="2">(C17/D17)*100</f>
        <v>107.32219020702107</v>
      </c>
    </row>
    <row r="18" spans="2:11" x14ac:dyDescent="0.25">
      <c r="B18" s="135" t="s">
        <v>39</v>
      </c>
      <c r="C18" s="80">
        <f>'Bilans GK'!C13</f>
        <v>52076.25</v>
      </c>
      <c r="D18" s="80">
        <f>'Bilans GK'!D13</f>
        <v>41318.239999999998</v>
      </c>
      <c r="E18" s="80">
        <f>C19/'Kursy walut'!$C$6</f>
        <v>5846.9589917410603</v>
      </c>
      <c r="F18" s="80">
        <f>D18/'Kursy walut'!$C$5</f>
        <v>9899.4297762231054</v>
      </c>
      <c r="G18" s="137">
        <f t="shared" si="2"/>
        <v>126.03695123509617</v>
      </c>
      <c r="I18" s="24"/>
    </row>
    <row r="19" spans="2:11" x14ac:dyDescent="0.25">
      <c r="B19" s="133" t="s">
        <v>40</v>
      </c>
      <c r="C19" s="81">
        <f>'Bilans GK'!C14</f>
        <v>24495.25</v>
      </c>
      <c r="D19" s="81">
        <f>'Bilans GK'!D14</f>
        <v>22901.03</v>
      </c>
      <c r="E19" s="81">
        <f>C20/'Kursy walut'!$C$6</f>
        <v>365.93068219792809</v>
      </c>
      <c r="F19" s="81">
        <f>D19/'Kursy walut'!$C$5</f>
        <v>5486.8537064545499</v>
      </c>
      <c r="G19" s="138">
        <f t="shared" si="2"/>
        <v>106.96134628005815</v>
      </c>
      <c r="K19" s="24"/>
    </row>
    <row r="20" spans="2:11" x14ac:dyDescent="0.25">
      <c r="B20" s="135" t="s">
        <v>109</v>
      </c>
      <c r="C20" s="80">
        <f>'Bilans GK'!C22</f>
        <v>1533.03</v>
      </c>
      <c r="D20" s="80">
        <f>'Bilans GK'!D22</f>
        <v>582.6</v>
      </c>
      <c r="E20" s="80">
        <f>C21/'Kursy walut'!$C$6</f>
        <v>5992.0107891344824</v>
      </c>
      <c r="F20" s="80">
        <f>D20/'Kursy walut'!$C$5</f>
        <v>139.58503042790744</v>
      </c>
      <c r="G20" s="137">
        <f t="shared" si="2"/>
        <v>263.13594232749739</v>
      </c>
    </row>
    <row r="21" spans="2:11" x14ac:dyDescent="0.25">
      <c r="B21" s="133" t="s">
        <v>110</v>
      </c>
      <c r="C21" s="81">
        <f>C22+C23</f>
        <v>25102.93</v>
      </c>
      <c r="D21" s="81">
        <f>D22+D23</f>
        <v>17145.190000000002</v>
      </c>
      <c r="E21" s="81">
        <f>C22/'Kursy walut'!$C$6</f>
        <v>5864.3672124886616</v>
      </c>
      <c r="F21" s="81">
        <f>D21/'Kursy walut'!$C$5</f>
        <v>4107.8130241027366</v>
      </c>
      <c r="G21" s="138">
        <f t="shared" si="2"/>
        <v>146.4138338507768</v>
      </c>
    </row>
    <row r="22" spans="2:11" x14ac:dyDescent="0.25">
      <c r="B22" s="135" t="s">
        <v>111</v>
      </c>
      <c r="C22" s="80">
        <f>'Bilans GK'!C15+'Bilans GK'!C17</f>
        <v>24568.18</v>
      </c>
      <c r="D22" s="80">
        <f>'Bilans GK'!D15+'Bilans GK'!D17</f>
        <v>16610.440000000002</v>
      </c>
      <c r="E22" s="80">
        <f>C23/'Kursy walut'!$C$6</f>
        <v>127.6435766458204</v>
      </c>
      <c r="F22" s="80">
        <f>D22/'Kursy walut'!$C$5</f>
        <v>3979.6923666682646</v>
      </c>
      <c r="G22" s="137">
        <f t="shared" si="2"/>
        <v>147.90806264012269</v>
      </c>
    </row>
    <row r="23" spans="2:11" x14ac:dyDescent="0.25">
      <c r="B23" s="133" t="s">
        <v>112</v>
      </c>
      <c r="C23" s="81">
        <v>534.75</v>
      </c>
      <c r="D23" s="81">
        <f>'Bilans GK'!D12</f>
        <v>534.75</v>
      </c>
      <c r="E23" s="81">
        <f>C24/'Kursy walut'!$C$6</f>
        <v>10590.559507328018</v>
      </c>
      <c r="F23" s="81">
        <f>D23/'Kursy walut'!$C$5</f>
        <v>128.12065743447218</v>
      </c>
      <c r="G23" s="162">
        <f t="shared" si="2"/>
        <v>100</v>
      </c>
    </row>
    <row r="24" spans="2:11" x14ac:dyDescent="0.25">
      <c r="B24" s="135" t="s">
        <v>113</v>
      </c>
      <c r="C24" s="80">
        <f>C25+C26</f>
        <v>44368.090000000004</v>
      </c>
      <c r="D24" s="80">
        <f>D25+D26</f>
        <v>33268.720000000001</v>
      </c>
      <c r="E24" s="80">
        <f>C25/'Kursy walut'!$C$6</f>
        <v>916.75418914403031</v>
      </c>
      <c r="F24" s="80">
        <f>D24/'Kursy walut'!$C$5</f>
        <v>7970.8467104317415</v>
      </c>
      <c r="G24" s="137">
        <f t="shared" si="2"/>
        <v>133.36278041355365</v>
      </c>
    </row>
    <row r="25" spans="2:11" x14ac:dyDescent="0.25">
      <c r="B25" s="133" t="s">
        <v>114</v>
      </c>
      <c r="C25" s="81">
        <f>'Bilans GK'!C38</f>
        <v>3840.6500000000005</v>
      </c>
      <c r="D25" s="81">
        <f>'Bilans GK'!D38</f>
        <v>3307.54</v>
      </c>
      <c r="E25" s="81">
        <f>C26/'Kursy walut'!$C$6</f>
        <v>9673.8053181839896</v>
      </c>
      <c r="F25" s="81">
        <f>D25/'Kursy walut'!$C$5</f>
        <v>792.4529205999329</v>
      </c>
      <c r="G25" s="138">
        <f t="shared" si="2"/>
        <v>116.11802124842031</v>
      </c>
    </row>
    <row r="26" spans="2:11" x14ac:dyDescent="0.25">
      <c r="B26" s="135" t="s">
        <v>70</v>
      </c>
      <c r="C26" s="80">
        <f>'Bilans GK'!C46</f>
        <v>40527.440000000002</v>
      </c>
      <c r="D26" s="80">
        <f>'Bilans GK'!D46</f>
        <v>29961.18</v>
      </c>
      <c r="E26" s="80">
        <f>C27/'Kursy walut'!$C$6</f>
        <v>9652.2318231727695</v>
      </c>
      <c r="F26" s="80">
        <f>D26/'Kursy walut'!$C$5</f>
        <v>7178.3937898318081</v>
      </c>
      <c r="G26" s="137">
        <f t="shared" si="2"/>
        <v>135.2665015196331</v>
      </c>
    </row>
    <row r="27" spans="2:11" x14ac:dyDescent="0.25">
      <c r="B27" s="133" t="s">
        <v>115</v>
      </c>
      <c r="C27" s="81">
        <f>'Bilans GK'!C28</f>
        <v>40437.06</v>
      </c>
      <c r="D27" s="81">
        <f>'Bilans GK'!D28</f>
        <v>38545.449999999997</v>
      </c>
      <c r="E27" s="81">
        <f>C28/'Kursy walut'!$C$6</f>
        <v>429.56986680670263</v>
      </c>
      <c r="F27" s="81">
        <f>D27/'Kursy walut'!$C$5</f>
        <v>9235.0975130576444</v>
      </c>
      <c r="G27" s="138">
        <f t="shared" si="2"/>
        <v>104.90747935229709</v>
      </c>
    </row>
    <row r="28" spans="2:11" ht="15.75" thickBot="1" x14ac:dyDescent="0.3">
      <c r="B28" s="139" t="s">
        <v>116</v>
      </c>
      <c r="C28" s="140">
        <v>1799.64</v>
      </c>
      <c r="D28" s="140">
        <v>1799.64</v>
      </c>
      <c r="E28" s="140">
        <f>C29/'Kursy walut'!$C$6</f>
        <v>0</v>
      </c>
      <c r="F28" s="140">
        <f>D28/'Kursy walut'!$C$5</f>
        <v>431.17542766783271</v>
      </c>
      <c r="G28" s="141">
        <f t="shared" si="2"/>
        <v>100</v>
      </c>
    </row>
    <row r="29" spans="2:11" ht="15.75" thickTop="1" x14ac:dyDescent="0.25">
      <c r="C29" s="32"/>
      <c r="D29" s="32"/>
      <c r="E29" s="31"/>
      <c r="F29" s="31"/>
      <c r="G29" s="31"/>
    </row>
    <row r="30" spans="2:11" x14ac:dyDescent="0.25">
      <c r="C30" s="32"/>
      <c r="D30" s="32"/>
      <c r="E30" s="31"/>
      <c r="F30" s="31"/>
      <c r="G30" s="31"/>
    </row>
    <row r="31" spans="2:11" x14ac:dyDescent="0.25">
      <c r="C31" s="32"/>
      <c r="D31" s="32"/>
      <c r="E31" s="31"/>
      <c r="F31" s="31"/>
      <c r="G31" s="31"/>
    </row>
    <row r="32" spans="2:11" x14ac:dyDescent="0.25">
      <c r="D32" s="24"/>
    </row>
  </sheetData>
  <mergeCells count="4">
    <mergeCell ref="B3:B4"/>
    <mergeCell ref="G3:G4"/>
    <mergeCell ref="B14:B15"/>
    <mergeCell ref="G14:G15"/>
  </mergeCells>
  <pageMargins left="0.7" right="0.7" top="0.75" bottom="0.75" header="0.3" footer="0.3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3"/>
  <sheetViews>
    <sheetView workbookViewId="0">
      <selection activeCell="B3" sqref="B3"/>
    </sheetView>
  </sheetViews>
  <sheetFormatPr defaultRowHeight="15" x14ac:dyDescent="0.25"/>
  <cols>
    <col min="2" max="2" width="39" customWidth="1"/>
    <col min="3" max="3" width="13.5703125" customWidth="1"/>
    <col min="4" max="4" width="10.42578125" bestFit="1" customWidth="1"/>
  </cols>
  <sheetData>
    <row r="3" spans="2:4" ht="15.75" thickBot="1" x14ac:dyDescent="0.3"/>
    <row r="4" spans="2:4" ht="15.75" thickTop="1" x14ac:dyDescent="0.25">
      <c r="B4" s="181"/>
      <c r="C4" s="153" t="s">
        <v>166</v>
      </c>
      <c r="D4" s="160" t="s">
        <v>166</v>
      </c>
    </row>
    <row r="5" spans="2:4" ht="15.75" thickBot="1" x14ac:dyDescent="0.3">
      <c r="B5" s="182"/>
      <c r="C5" s="154">
        <v>2014</v>
      </c>
      <c r="D5" s="156">
        <v>2013</v>
      </c>
    </row>
    <row r="6" spans="2:4" ht="15.75" thickTop="1" x14ac:dyDescent="0.25">
      <c r="B6" s="155" t="s">
        <v>117</v>
      </c>
      <c r="C6" s="22">
        <f>'Wybrane dane finansowe GK'!C9/'Wybrane dane finansowe GK'!C5</f>
        <v>3.4642863645190876E-2</v>
      </c>
      <c r="D6" s="157">
        <f>'Wybrane dane finansowe GK'!D9/'Wybrane dane finansowe GK'!D5</f>
        <v>2.9652426201592533E-2</v>
      </c>
    </row>
    <row r="7" spans="2:4" x14ac:dyDescent="0.25">
      <c r="B7" s="26" t="s">
        <v>118</v>
      </c>
      <c r="C7" s="23">
        <f>'Wybrane dane finansowe GK'!C11/'Wybrane dane finansowe GK'!C5</f>
        <v>6.4844470675340909E-2</v>
      </c>
      <c r="D7" s="158">
        <f>'Wybrane dane finansowe GK'!D11/'Wybrane dane finansowe GK'!D5</f>
        <v>6.4673684854075375E-2</v>
      </c>
    </row>
    <row r="8" spans="2:4" x14ac:dyDescent="0.25">
      <c r="B8" s="25" t="s">
        <v>119</v>
      </c>
      <c r="C8" s="22">
        <f>'Wybrane dane finansowe GK'!C13/'Wybrane dane finansowe GK'!C5</f>
        <v>2.6655505049278848E-2</v>
      </c>
      <c r="D8" s="157">
        <f>'Wybrane dane finansowe GK'!D13/'Wybrane dane finansowe GK'!D5</f>
        <v>1.4693149849899169E-2</v>
      </c>
    </row>
    <row r="9" spans="2:4" x14ac:dyDescent="0.25">
      <c r="B9" s="26" t="s">
        <v>120</v>
      </c>
      <c r="C9" s="23">
        <f>'Wybrane dane finansowe GK'!C13/('Wybrane dane finansowe GK'!C16-'Wybrane dane finansowe GK'!C24)</f>
        <v>1.7378859887439778E-2</v>
      </c>
      <c r="D9" s="158">
        <f>'Wybrane dane finansowe GK'!D13/('Wybrane dane finansowe GK'!D16-'Wybrane dane finansowe GK'!D24)</f>
        <v>8.4796000565565584E-3</v>
      </c>
    </row>
    <row r="10" spans="2:4" x14ac:dyDescent="0.25">
      <c r="B10" s="27" t="s">
        <v>121</v>
      </c>
      <c r="C10" s="22">
        <f>'Wybrane dane finansowe GK'!C13/'Wybrane dane finansowe GK'!C16</f>
        <v>8.2866429692064151E-3</v>
      </c>
      <c r="D10" s="157">
        <f>'Wybrane dane finansowe GK'!D13/'Wybrane dane finansowe GK'!D16</f>
        <v>4.5513301901281876E-3</v>
      </c>
    </row>
    <row r="11" spans="2:4" x14ac:dyDescent="0.25">
      <c r="B11" s="26" t="s">
        <v>122</v>
      </c>
      <c r="C11" s="23">
        <f>'Wybrane dane finansowe GK'!C18/'Wybrane dane finansowe GK'!C26</f>
        <v>1.2849627314234504</v>
      </c>
      <c r="D11" s="158">
        <f>'Wybrane dane finansowe GK'!D18/'Wybrane dane finansowe GK'!D26</f>
        <v>1.3790591692316523</v>
      </c>
    </row>
    <row r="12" spans="2:4" ht="15.75" thickBot="1" x14ac:dyDescent="0.3">
      <c r="B12" s="28" t="s">
        <v>123</v>
      </c>
      <c r="C12" s="29">
        <f>'Wybrane dane finansowe GK'!C24/'Wybrane dane finansowe GK'!C16</f>
        <v>0.52317683536907844</v>
      </c>
      <c r="D12" s="159">
        <f>'Wybrane dane finansowe GK'!D24/'Wybrane dane finansowe GK'!D16</f>
        <v>0.46326121989573926</v>
      </c>
    </row>
    <row r="13" spans="2:4" ht="15.75" thickTop="1" x14ac:dyDescent="0.25"/>
  </sheetData>
  <mergeCells count="1">
    <mergeCell ref="B4:B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A22" sqref="A22"/>
    </sheetView>
  </sheetViews>
  <sheetFormatPr defaultRowHeight="15" x14ac:dyDescent="0.25"/>
  <cols>
    <col min="3" max="3" width="23.42578125" customWidth="1"/>
    <col min="4" max="4" width="23" customWidth="1"/>
    <col min="5" max="5" width="22.140625" bestFit="1" customWidth="1"/>
  </cols>
  <sheetData>
    <row r="2" spans="2:4" ht="15.75" thickBot="1" x14ac:dyDescent="0.3"/>
    <row r="3" spans="2:4" ht="15.75" thickTop="1" x14ac:dyDescent="0.25">
      <c r="B3" s="183"/>
      <c r="C3" s="150" t="s">
        <v>124</v>
      </c>
      <c r="D3" s="151" t="s">
        <v>125</v>
      </c>
    </row>
    <row r="4" spans="2:4" x14ac:dyDescent="0.25">
      <c r="B4" s="184"/>
      <c r="C4" s="149" t="s">
        <v>178</v>
      </c>
      <c r="D4" s="152" t="s">
        <v>166</v>
      </c>
    </row>
    <row r="5" spans="2:4" x14ac:dyDescent="0.25">
      <c r="B5" s="143">
        <v>2013</v>
      </c>
      <c r="C5" s="144">
        <v>4.1738</v>
      </c>
      <c r="D5" s="145">
        <v>4.1773999999999996</v>
      </c>
    </row>
    <row r="6" spans="2:4" ht="15.75" thickBot="1" x14ac:dyDescent="0.3">
      <c r="B6" s="146">
        <v>2014</v>
      </c>
      <c r="C6" s="147">
        <v>4.1894</v>
      </c>
      <c r="D6" s="148">
        <v>4.1712999999999996</v>
      </c>
    </row>
    <row r="7" spans="2:4" ht="15.75" thickTop="1" x14ac:dyDescent="0.25"/>
  </sheetData>
  <mergeCells count="1"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RZiS GK</vt:lpstr>
      <vt:lpstr>Sk. spr.z cał.doch.GK</vt:lpstr>
      <vt:lpstr>Bilans GK</vt:lpstr>
      <vt:lpstr>Zest.zmian w kap.wł. GK</vt:lpstr>
      <vt:lpstr>Rach.przep.pienięż GK</vt:lpstr>
      <vt:lpstr>Wybrane dane finansowe GK</vt:lpstr>
      <vt:lpstr>Wskaźniki finansowe GK</vt:lpstr>
      <vt:lpstr>Kursy walut</vt:lpstr>
      <vt:lpstr>'Wybrane dane finansowe GK'!Obszar_wydruku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cp:lastPrinted>2014-05-13T09:11:27Z</cp:lastPrinted>
  <dcterms:created xsi:type="dcterms:W3CDTF">2013-11-04T11:55:12Z</dcterms:created>
  <dcterms:modified xsi:type="dcterms:W3CDTF">2014-05-20T20:33:18Z</dcterms:modified>
</cp:coreProperties>
</file>