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911" activeTab="0"/>
  </bookViews>
  <sheets>
    <sheet name="RZiS LUG S.A." sheetId="1" r:id="rId1"/>
    <sheet name="Sk. spr.z cał.doch. LUG S.A." sheetId="2" r:id="rId2"/>
    <sheet name="Bilans LUG S.A." sheetId="3" r:id="rId3"/>
    <sheet name="Zest.zmian w kap.wł. LUG S.A." sheetId="4" r:id="rId4"/>
    <sheet name="Rach.przep.pienięż LUG S.A." sheetId="5" r:id="rId5"/>
    <sheet name="Wybrane dane finansowe LUG S.A " sheetId="6" r:id="rId6"/>
    <sheet name="Wskaźniki finansowe LUG S.A." sheetId="7" r:id="rId7"/>
    <sheet name="Kursy walut" sheetId="8" r:id="rId8"/>
  </sheets>
  <definedNames/>
  <calcPr fullCalcOnLoad="1"/>
</workbook>
</file>

<file path=xl/sharedStrings.xml><?xml version="1.0" encoding="utf-8"?>
<sst xmlns="http://schemas.openxmlformats.org/spreadsheetml/2006/main" count="263" uniqueCount="180">
  <si>
    <t>Przychody ze sprzedaży</t>
  </si>
  <si>
    <t>Przychody ze sprzedaży produktów i usług</t>
  </si>
  <si>
    <t>Przychody ze sprzedaży towarów i materiałów</t>
  </si>
  <si>
    <t>Koszty sprzedanych produktów, towarów i materiałów</t>
  </si>
  <si>
    <t>Koszty wytworzenia sprzedanych produktów i usług</t>
  </si>
  <si>
    <t>Wartość sprzedanych towarów i materiałów</t>
  </si>
  <si>
    <t>Zysk  (strata) brutto na sprzedaży</t>
  </si>
  <si>
    <t>Różnica z tytułu przekazania aktywów niegotówkowych właścicielom</t>
  </si>
  <si>
    <t>Pozostałe przychody operacyjne</t>
  </si>
  <si>
    <t>Koszty sprzedaży</t>
  </si>
  <si>
    <t>Koszty ogólnego zarządu</t>
  </si>
  <si>
    <t>Nakłady na prace badawcze i rozwojowe</t>
  </si>
  <si>
    <t>Pozostałe koszty operacyjne</t>
  </si>
  <si>
    <t>Zysk (strata) na działalności operacyjnej</t>
  </si>
  <si>
    <t>Przychody finansowe</t>
  </si>
  <si>
    <t>Koszty finansowe</t>
  </si>
  <si>
    <t>Udział w zyskach (stratach) netto jednostek wycenianych metodą praw własności</t>
  </si>
  <si>
    <t>Zysk (strata) przed opodatkowaniem</t>
  </si>
  <si>
    <t>Podatek dochodowy</t>
  </si>
  <si>
    <t>Zysk (strata) netto należny udziałowcom mniejszościowym</t>
  </si>
  <si>
    <t>Zysk (strata) netto z działalności kontynuowanej</t>
  </si>
  <si>
    <t>Zysk (strata) z działalności zaniechanej</t>
  </si>
  <si>
    <t>Zysk (strata) netto</t>
  </si>
  <si>
    <t>Zysk (strata) netto należny akcjonariuszom jenostki dominującej</t>
  </si>
  <si>
    <t>Zysk (strata) netto na jedną akcję (w zł)</t>
  </si>
  <si>
    <t>Podstawowy za okres obrotowy</t>
  </si>
  <si>
    <t>Rozwodniony za okres obrotowy</t>
  </si>
  <si>
    <t>Zysk (strata) netto na jedną akcję z działalności kontynuowanej (w zł)</t>
  </si>
  <si>
    <t>w tys. PLN</t>
  </si>
  <si>
    <t>Aktywa trwałe</t>
  </si>
  <si>
    <t>Rzeczowe aktywa trwałe</t>
  </si>
  <si>
    <t xml:space="preserve">Wartości niematerialne </t>
  </si>
  <si>
    <t>Nieruchomości inwestycyjne</t>
  </si>
  <si>
    <t>Inwestycje w jednostkach podporządkowanych</t>
  </si>
  <si>
    <t>Aktywa finansowe dostepne do sprzedaży</t>
  </si>
  <si>
    <t>Pozostałe aktywa finansowe</t>
  </si>
  <si>
    <t>Aktywa z tytułu odroczonego podatku dochodowego</t>
  </si>
  <si>
    <t>Należności długoterminowe</t>
  </si>
  <si>
    <t>Aktywa obrotowe</t>
  </si>
  <si>
    <t>Zapasy</t>
  </si>
  <si>
    <t>Należności handlowe</t>
  </si>
  <si>
    <t>Należności z tytułu bieżącego podatku dochodowego</t>
  </si>
  <si>
    <t xml:space="preserve">Pozostałe należności </t>
  </si>
  <si>
    <t>Aktywa finansowe dostępne do sprzedaży</t>
  </si>
  <si>
    <t>Aktywa finansowe wyceniane w wartości godziwej przez wynik finansowy</t>
  </si>
  <si>
    <t>Rozliczenia międzyokresowe</t>
  </si>
  <si>
    <t>Środki pieniężne i ich ekwiwalenty</t>
  </si>
  <si>
    <t>Aktywa zaklasyfikowane jako przeznaczone do sprzedaży</t>
  </si>
  <si>
    <t>AKTYWA  RAZEM</t>
  </si>
  <si>
    <t>AKTYWA</t>
  </si>
  <si>
    <t>PASYWA</t>
  </si>
  <si>
    <t>Kapitał własny</t>
  </si>
  <si>
    <t>Kapitał zakładowy</t>
  </si>
  <si>
    <t>Kapitał zapasowy z emisji akcji powyżej wartości nominalnej</t>
  </si>
  <si>
    <t>Akcje własne</t>
  </si>
  <si>
    <t>Pozostałe kapitały</t>
  </si>
  <si>
    <t>Niepodzielony wynik finansowy</t>
  </si>
  <si>
    <t>Różnice kursowe z przeliczenia</t>
  </si>
  <si>
    <t>Zyski zatrzymane</t>
  </si>
  <si>
    <t>Wynik finansowy bieżącego okresu</t>
  </si>
  <si>
    <t>Kapitał akcjonariuszy mniejszościowych</t>
  </si>
  <si>
    <t>Zobowiązanie długoterminowe</t>
  </si>
  <si>
    <t>Kredyty i pożyczki</t>
  </si>
  <si>
    <t>Pozostałe zobowiązania finansowe</t>
  </si>
  <si>
    <t>Inne zobowiązania długoterminowe</t>
  </si>
  <si>
    <t>Rezerwy z tytułu odroczonego podatku dochodowego</t>
  </si>
  <si>
    <t>Rozliczenia międzyokresowe przychodów</t>
  </si>
  <si>
    <t>Rezerwa na świadczenia emerytalne i podobne</t>
  </si>
  <si>
    <t>Pozostałe rezerwy</t>
  </si>
  <si>
    <t>Zobowiązania krótkoterminowe</t>
  </si>
  <si>
    <t>Zobowiązania handlowe</t>
  </si>
  <si>
    <t>Zobowiązania z tytułu bieżącego podatku dochodowego</t>
  </si>
  <si>
    <t>Pozostałe zobowiązania</t>
  </si>
  <si>
    <t>Zobowiązania bezpośrednio związane z aktywami klasyfikowanymi jako przeznaczone do sprzedaży</t>
  </si>
  <si>
    <t>PASYWA  RAZEM</t>
  </si>
  <si>
    <t>Wartość księgowa na akcję (w zł)</t>
  </si>
  <si>
    <t>Zmiany w nadwyżce z przeszacowania</t>
  </si>
  <si>
    <t>Zyski (straty) z tytułu przeszacowania składników aktywów finansowych dostępnych do sprzedaży</t>
  </si>
  <si>
    <t>Efektywna część zysków i strat związanych z instrumentami zabezpieczającymi przepływy środków pieniężnych</t>
  </si>
  <si>
    <t>Zyski (straty) aktuarialne z programów określonych świadczeń emerytalnych</t>
  </si>
  <si>
    <t>Różnice kursowe z wyceny jednostek działających za granicą</t>
  </si>
  <si>
    <t>Podatek dochodowy związany z elementami pozostałych całkowitych dochodów</t>
  </si>
  <si>
    <t xml:space="preserve">Suma dochodów całkowitych </t>
  </si>
  <si>
    <t>Suma dochodów całkowitych przypisana akcjonariuszom niekontrolującym</t>
  </si>
  <si>
    <t>Suma dochodów całkowitych przypadająca na podmiot dominujący</t>
  </si>
  <si>
    <t xml:space="preserve">Kapitały zapasowy ze sprzedaży akcji powyżej ceny nominalnej </t>
  </si>
  <si>
    <t>Kapitał własny akcjonariuszy jednostki dominującej</t>
  </si>
  <si>
    <t>Kapitał
własny ogółem</t>
  </si>
  <si>
    <t>Zmiany zasad (polityki) rachunkowości</t>
  </si>
  <si>
    <t>Korekty z tyt. błędów podstawowych</t>
  </si>
  <si>
    <t>Kapitał własny po korektach</t>
  </si>
  <si>
    <t>Emisja akcji</t>
  </si>
  <si>
    <t>Koszty emisji akcji</t>
  </si>
  <si>
    <t>Płatność w formie akcji własnych</t>
  </si>
  <si>
    <t>Podział zysku netto</t>
  </si>
  <si>
    <t>Wypłata dywidendy</t>
  </si>
  <si>
    <t>Suma dochodów całkowitych</t>
  </si>
  <si>
    <t>Dynamika (PLN)</t>
  </si>
  <si>
    <t>2013 PLN</t>
  </si>
  <si>
    <t>2013 EUR</t>
  </si>
  <si>
    <t>Amortyzacja</t>
  </si>
  <si>
    <t>Zysk (strata) ze sprzedaży brutto</t>
  </si>
  <si>
    <t>Zysk (strata) ze sprzedaży netto</t>
  </si>
  <si>
    <t>Zysk (strata) z działalności operacyjnej</t>
  </si>
  <si>
    <t>Zysk z działalności gospodarczej</t>
  </si>
  <si>
    <t>*</t>
  </si>
  <si>
    <t>EBITDA</t>
  </si>
  <si>
    <t>Zysk (strata) brutto</t>
  </si>
  <si>
    <t>Aktywa razem, w tym:</t>
  </si>
  <si>
    <t>Środki pieniężne i inne aktywa pieniężne</t>
  </si>
  <si>
    <t>Należności razem, w tym:</t>
  </si>
  <si>
    <t>Należności krótkoterminowe</t>
  </si>
  <si>
    <t>Należności  długoterminowe</t>
  </si>
  <si>
    <t>Zobowiązania i rezerwy na zobowiązania, w tym:</t>
  </si>
  <si>
    <t>Zobowiązania długoterminowe</t>
  </si>
  <si>
    <t>Kapitał własny, w tym:</t>
  </si>
  <si>
    <t>Kapitał podstawowy</t>
  </si>
  <si>
    <t>3Q</t>
  </si>
  <si>
    <t>Wskaźnik rentowności operacyjnej</t>
  </si>
  <si>
    <t>Wskaźnik rentowności EBITDA</t>
  </si>
  <si>
    <t>Wskaźnik rentowności netto</t>
  </si>
  <si>
    <t>Wskaźnik rentowności kapitału własnego (ROE)</t>
  </si>
  <si>
    <t>Wskaźnik rentowności majątku (ROA)</t>
  </si>
  <si>
    <t>Wskaźnik ogólnej płynności</t>
  </si>
  <si>
    <t>Wskaźnik ogólnego zadłużenia</t>
  </si>
  <si>
    <t>Kurs euro na dzień bilansowy</t>
  </si>
  <si>
    <t>Średni kurs euro w okresie</t>
  </si>
  <si>
    <t>(30.09.)</t>
  </si>
  <si>
    <t>1-3 Q</t>
  </si>
  <si>
    <t>II. Korekty razem</t>
  </si>
  <si>
    <t>1. Amortyzacja (w tym odpisy wartości firmy lub ujemnej wartości firmy)</t>
  </si>
  <si>
    <t>2. Zyski (straty) z tytułu różnic kursowych</t>
  </si>
  <si>
    <t>3. Odsetki i udziały w zyskach (dywidendy)</t>
  </si>
  <si>
    <t>4. Zysk (strata) z działalnosci inwestycyjnej</t>
  </si>
  <si>
    <t>5. Zmiana stanu rezerw</t>
  </si>
  <si>
    <t>6. Zmiana stanu zapasów</t>
  </si>
  <si>
    <t>7. Zmiana stanu należności</t>
  </si>
  <si>
    <t>8. Zmiana stanu zobowiązań krótkoterminowych, z z wyjątkiem pożyczek i kredytów</t>
  </si>
  <si>
    <t>9. Zmiana stanu rozliczeń międzyokresowych</t>
  </si>
  <si>
    <t>10. Inne korekty z działalności operacyjnej</t>
  </si>
  <si>
    <t>III. Przepływy pieniężne netto z działalności operacyjnej (I+/–II)</t>
  </si>
  <si>
    <t>I. Wpływy</t>
  </si>
  <si>
    <t>1. Zbycie wartości niematerialnych i prawnych oraz rzeczowych aktywów trwałych</t>
  </si>
  <si>
    <t>2. Zbycie inwestycji w nieruchomości oraz wartości niematerialne i prawne</t>
  </si>
  <si>
    <t>4. Inne wpływy inwestycyjne</t>
  </si>
  <si>
    <t>II. Wydatki</t>
  </si>
  <si>
    <t>1. Nabycie wartości niematerialnych i prawnych oraz rzeczowych aktywów trwałych</t>
  </si>
  <si>
    <t>2. Inwestycje w nieruchomości oraz wartości niematerialane i prawne</t>
  </si>
  <si>
    <t>4. Inne wydatki inwestycyjne</t>
  </si>
  <si>
    <t>III. Przepływy pieniężne netto z działalności inwestycyjnej (I–II)</t>
  </si>
  <si>
    <t>III. Przepływy pieniężne netto z działalności finansowej (I–II)</t>
  </si>
  <si>
    <t>D. Przepływy pieniężne netto razem (A.III.+/–B.III+/–C.III)</t>
  </si>
  <si>
    <t>E. Bilansowa zmiana stanu środków pieniężnych, w tym:</t>
  </si>
  <si>
    <t>– zmiana stanu środków pienięznych z tytułu różnic kursowych</t>
  </si>
  <si>
    <t>F. Środki pieniężne na początek okresu</t>
  </si>
  <si>
    <t>G. Środki pieniężne na koniec okresu (F+D), w tym</t>
  </si>
  <si>
    <t>– o ograniczonej mozliwości dysponowania</t>
  </si>
  <si>
    <t>A. DZIAŁALNOŚĆ OPERACYJNA</t>
  </si>
  <si>
    <t>B. DZIAŁALNOŚĆ INWESTYCYJNA</t>
  </si>
  <si>
    <t>C. DZIAŁALNOŚĆ FINANSOWA</t>
  </si>
  <si>
    <t>I. Zysk (strata) przed opodatkowaniem</t>
  </si>
  <si>
    <t>3. Z aktywów finansowych</t>
  </si>
  <si>
    <t>udział w zyskach (stratach) netto jednostek wycenianych metodą praw własności</t>
  </si>
  <si>
    <t>Kapitał własny na dzień  01.01.2013 r.</t>
  </si>
  <si>
    <t>Kapitał własny na dzień  01.01.2014 r.</t>
  </si>
  <si>
    <t>2014 PLN</t>
  </si>
  <si>
    <t>2014 EUR</t>
  </si>
  <si>
    <t>3. Na aktywa finansowe</t>
  </si>
  <si>
    <t>za okres 01.07.2014 - 30.09.2014</t>
  </si>
  <si>
    <t>za okres 01.07.2013 - 30.09.2013</t>
  </si>
  <si>
    <t>za okres 01.01.2014 - 30.09.2014</t>
  </si>
  <si>
    <t>za okres 01.01.2013 - 30.09.2013</t>
  </si>
  <si>
    <t>stan na 30.09.2014 r.</t>
  </si>
  <si>
    <t>stan na 30.09.2013 r.</t>
  </si>
  <si>
    <t>dziewięć miesięcy zakończonych - 30.09.2014 r.</t>
  </si>
  <si>
    <t>dzieiwęć miesięcy zakończonych - 30.09.2013r.</t>
  </si>
  <si>
    <t>Kapitał własny na dzień  30.09.2014 r.</t>
  </si>
  <si>
    <t>Kapitał własny na dzień  30.09.2013 r.</t>
  </si>
  <si>
    <t>1-3Q</t>
  </si>
  <si>
    <t>30.09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</si>
</sst>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_ ;\-#,##0.00\ "/>
    <numFmt numFmtId="166" formatCode="0.00_ ;\-0.00\ "/>
    <numFmt numFmtId="167" formatCode="#0.0000"/>
    <numFmt numFmtId="168" formatCode="yyyymmdd"/>
    <numFmt numFmtId="169" formatCode="0.0000000"/>
    <numFmt numFmtId="170" formatCode="0.000000"/>
    <numFmt numFmtId="171" formatCode="0.00000"/>
    <numFmt numFmtId="172" formatCode="0.000000000"/>
    <numFmt numFmtId="173" formatCode="0.00000000"/>
    <numFmt numFmtId="174" formatCode="0.000"/>
    <numFmt numFmtId="175" formatCode="0.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63"/>
      <name val="Calibri"/>
      <family val="2"/>
    </font>
    <font>
      <b/>
      <sz val="9"/>
      <color indexed="60"/>
      <name val="Calibri"/>
      <family val="2"/>
    </font>
    <font>
      <b/>
      <sz val="10"/>
      <color indexed="63"/>
      <name val="Calibri"/>
      <family val="2"/>
    </font>
    <font>
      <b/>
      <sz val="10"/>
      <color indexed="60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8"/>
      <color indexed="10"/>
      <name val="Arial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 tint="0.34999001026153564"/>
      <name val="Calibri"/>
      <family val="2"/>
    </font>
    <font>
      <b/>
      <sz val="9"/>
      <color rgb="FFC00000"/>
      <name val="Calibri"/>
      <family val="2"/>
    </font>
    <font>
      <b/>
      <sz val="10"/>
      <color theme="1" tint="0.34999001026153564"/>
      <name val="Calibri"/>
      <family val="2"/>
    </font>
    <font>
      <b/>
      <sz val="10"/>
      <color rgb="FFC00000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808080"/>
      </left>
      <right style="thin">
        <color rgb="FF808080"/>
      </right>
      <top style="thin">
        <color rgb="FF808080"/>
      </top>
      <bottom style="double">
        <color rgb="FF808080"/>
      </bottom>
    </border>
    <border>
      <left style="double">
        <color rgb="FF808080"/>
      </left>
      <right/>
      <top style="double">
        <color rgb="FF808080"/>
      </top>
      <bottom style="thin">
        <color rgb="FF80808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double">
        <color rgb="FF808080"/>
      </right>
      <top/>
      <bottom style="thin">
        <color rgb="FF808080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/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double">
        <color theme="0" tint="-0.4999699890613556"/>
      </top>
      <bottom/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double">
        <color theme="0" tint="-0.4999699890613556"/>
      </top>
      <bottom/>
    </border>
    <border>
      <left style="thin">
        <color theme="0" tint="-0.4999699890613556"/>
      </left>
      <right style="double">
        <color theme="0" tint="-0.4999699890613556"/>
      </right>
      <top/>
      <bottom style="thin">
        <color theme="0" tint="-0.4999699890613556"/>
      </bottom>
    </border>
    <border>
      <left style="double">
        <color theme="0" tint="-0.4999699890613556"/>
      </left>
      <right style="thin">
        <color theme="0" tint="-0.4999699890613556"/>
      </right>
      <top style="double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double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double">
        <color rgb="FF808080"/>
      </right>
      <top style="thin">
        <color rgb="FF808080"/>
      </top>
      <bottom style="double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double">
        <color rgb="FF808080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0" tint="-0.4999699890613556"/>
      </left>
      <right style="double">
        <color rgb="FF808080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double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>
        <color theme="0" tint="-0.4999699890613556"/>
      </bottom>
    </border>
    <border>
      <left/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double">
        <color theme="0" tint="-0.4999699890613556"/>
      </left>
      <right/>
      <top style="double">
        <color theme="0" tint="-0.4999699890613556"/>
      </top>
      <bottom/>
    </border>
    <border>
      <left/>
      <right/>
      <top style="double">
        <color theme="0" tint="-0.4999699890613556"/>
      </top>
      <bottom/>
    </border>
    <border>
      <left/>
      <right style="double">
        <color theme="0" tint="-0.4999699890613556"/>
      </right>
      <top style="double">
        <color theme="0" tint="-0.4999699890613556"/>
      </top>
      <bottom/>
    </border>
    <border>
      <left/>
      <right style="double">
        <color rgb="FF808080"/>
      </right>
      <top style="double">
        <color rgb="FF808080"/>
      </top>
      <bottom style="thin">
        <color rgb="FF808080"/>
      </bottom>
    </border>
    <border>
      <left/>
      <right/>
      <top style="double">
        <color rgb="FF808080"/>
      </top>
      <bottom style="thin">
        <color rgb="FF808080"/>
      </bottom>
    </border>
    <border>
      <left/>
      <right/>
      <top/>
      <bottom style="double">
        <color rgb="FF808080"/>
      </bottom>
    </border>
    <border>
      <left/>
      <right style="double">
        <color theme="0" tint="-0.4999699890613556"/>
      </right>
      <top/>
      <bottom style="double">
        <color rgb="FF808080"/>
      </bottom>
    </border>
    <border>
      <left/>
      <right/>
      <top/>
      <bottom style="thin">
        <color theme="1" tint="0.49998000264167786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49" fontId="3" fillId="34" borderId="11" xfId="52" applyNumberFormat="1" applyFont="1" applyFill="1" applyBorder="1" applyAlignment="1">
      <alignment vertical="center" wrapText="1"/>
      <protection/>
    </xf>
    <xf numFmtId="49" fontId="4" fillId="0" borderId="11" xfId="52" applyNumberFormat="1" applyFont="1" applyFill="1" applyBorder="1" applyAlignment="1">
      <alignment horizontal="left" vertical="center" wrapText="1"/>
      <protection/>
    </xf>
    <xf numFmtId="49" fontId="4" fillId="0" borderId="11" xfId="52" applyNumberFormat="1" applyFont="1" applyFill="1" applyBorder="1" applyAlignment="1">
      <alignment vertical="center" wrapText="1"/>
      <protection/>
    </xf>
    <xf numFmtId="49" fontId="5" fillId="34" borderId="11" xfId="52" applyNumberFormat="1" applyFont="1" applyFill="1" applyBorder="1" applyAlignment="1">
      <alignment vertical="center" wrapText="1"/>
      <protection/>
    </xf>
    <xf numFmtId="0" fontId="3" fillId="34" borderId="11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justify" wrapText="1"/>
    </xf>
    <xf numFmtId="49" fontId="3" fillId="34" borderId="11" xfId="52" applyNumberFormat="1" applyFont="1" applyFill="1" applyBorder="1" applyAlignment="1">
      <alignment horizontal="left" vertical="center" wrapText="1"/>
      <protection/>
    </xf>
    <xf numFmtId="49" fontId="3" fillId="34" borderId="12" xfId="52" applyNumberFormat="1" applyFont="1" applyFill="1" applyBorder="1" applyAlignment="1">
      <alignment horizontal="left" vertical="center" wrapText="1"/>
      <protection/>
    </xf>
    <xf numFmtId="0" fontId="3" fillId="33" borderId="13" xfId="52" applyFont="1" applyFill="1" applyBorder="1" applyAlignment="1">
      <alignment horizontal="center" vertical="center" wrapText="1"/>
      <protection/>
    </xf>
    <xf numFmtId="0" fontId="3" fillId="35" borderId="14" xfId="52" applyFont="1" applyFill="1" applyBorder="1" applyAlignment="1">
      <alignment horizontal="center" vertical="center" wrapText="1"/>
      <protection/>
    </xf>
    <xf numFmtId="0" fontId="3" fillId="33" borderId="14" xfId="52" applyFont="1" applyFill="1" applyBorder="1" applyAlignment="1">
      <alignment horizontal="center" vertical="center" wrapText="1"/>
      <protection/>
    </xf>
    <xf numFmtId="49" fontId="3" fillId="36" borderId="11" xfId="52" applyNumberFormat="1" applyFont="1" applyFill="1" applyBorder="1" applyAlignment="1">
      <alignment vertical="center" wrapText="1"/>
      <protection/>
    </xf>
    <xf numFmtId="0" fontId="3" fillId="36" borderId="11" xfId="0" applyFont="1" applyFill="1" applyBorder="1" applyAlignment="1">
      <alignment/>
    </xf>
    <xf numFmtId="49" fontId="3" fillId="36" borderId="12" xfId="52" applyNumberFormat="1" applyFont="1" applyFill="1" applyBorder="1" applyAlignment="1">
      <alignment vertical="center" wrapText="1"/>
      <protection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52" applyFont="1" applyBorder="1">
      <alignment/>
      <protection/>
    </xf>
    <xf numFmtId="0" fontId="4" fillId="34" borderId="12" xfId="52" applyFont="1" applyFill="1" applyBorder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left" vertical="center"/>
      <protection/>
    </xf>
    <xf numFmtId="4" fontId="3" fillId="36" borderId="11" xfId="0" applyNumberFormat="1" applyFont="1" applyFill="1" applyBorder="1" applyAlignment="1" applyProtection="1">
      <alignment horizontal="left" vertical="center" wrapText="1"/>
      <protection/>
    </xf>
    <xf numFmtId="4" fontId="3" fillId="36" borderId="12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52" applyNumberFormat="1" applyFont="1" applyFill="1" applyBorder="1" applyAlignment="1">
      <alignment horizontal="center" vertical="center" wrapText="1"/>
      <protection/>
    </xf>
    <xf numFmtId="49" fontId="3" fillId="33" borderId="16" xfId="52" applyNumberFormat="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left" vertical="center"/>
    </xf>
    <xf numFmtId="0" fontId="6" fillId="37" borderId="17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 vertical="top"/>
    </xf>
    <xf numFmtId="0" fontId="4" fillId="0" borderId="12" xfId="52" applyFont="1" applyBorder="1">
      <alignment/>
      <protection/>
    </xf>
    <xf numFmtId="0" fontId="8" fillId="36" borderId="20" xfId="0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0" fontId="55" fillId="3" borderId="22" xfId="0" applyFont="1" applyFill="1" applyBorder="1" applyAlignment="1">
      <alignment horizontal="center"/>
    </xf>
    <xf numFmtId="0" fontId="56" fillId="36" borderId="23" xfId="0" applyFont="1" applyFill="1" applyBorder="1" applyAlignment="1">
      <alignment horizontal="center" vertical="top"/>
    </xf>
    <xf numFmtId="0" fontId="56" fillId="36" borderId="24" xfId="0" applyFont="1" applyFill="1" applyBorder="1" applyAlignment="1">
      <alignment horizontal="center" vertical="top"/>
    </xf>
    <xf numFmtId="0" fontId="57" fillId="3" borderId="23" xfId="0" applyFont="1" applyFill="1" applyBorder="1" applyAlignment="1">
      <alignment horizontal="center" vertical="top"/>
    </xf>
    <xf numFmtId="0" fontId="57" fillId="3" borderId="24" xfId="0" applyFont="1" applyFill="1" applyBorder="1" applyAlignment="1">
      <alignment horizontal="center" vertical="top"/>
    </xf>
    <xf numFmtId="0" fontId="6" fillId="37" borderId="17" xfId="0" applyFont="1" applyFill="1" applyBorder="1" applyAlignment="1">
      <alignment horizontal="justify" vertical="center"/>
    </xf>
    <xf numFmtId="0" fontId="6" fillId="0" borderId="17" xfId="0" applyFont="1" applyFill="1" applyBorder="1" applyAlignment="1">
      <alignment horizontal="justify" vertical="center"/>
    </xf>
    <xf numFmtId="0" fontId="6" fillId="37" borderId="17" xfId="0" applyFont="1" applyFill="1" applyBorder="1" applyAlignment="1">
      <alignment horizontal="justify"/>
    </xf>
    <xf numFmtId="164" fontId="7" fillId="0" borderId="14" xfId="0" applyNumberFormat="1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64" fontId="58" fillId="0" borderId="29" xfId="0" applyNumberFormat="1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top"/>
    </xf>
    <xf numFmtId="0" fontId="59" fillId="0" borderId="0" xfId="0" applyFont="1" applyAlignment="1">
      <alignment/>
    </xf>
    <xf numFmtId="0" fontId="59" fillId="3" borderId="32" xfId="0" applyFont="1" applyFill="1" applyBorder="1" applyAlignment="1">
      <alignment/>
    </xf>
    <xf numFmtId="0" fontId="3" fillId="36" borderId="27" xfId="53" applyFont="1" applyFill="1" applyBorder="1" applyAlignment="1">
      <alignment horizontal="left" vertical="center" wrapText="1"/>
      <protection/>
    </xf>
    <xf numFmtId="0" fontId="3" fillId="0" borderId="27" xfId="53" applyFont="1" applyFill="1" applyBorder="1" applyAlignment="1">
      <alignment vertical="center" wrapText="1"/>
      <protection/>
    </xf>
    <xf numFmtId="0" fontId="4" fillId="0" borderId="27" xfId="53" applyFont="1" applyFill="1" applyBorder="1" applyAlignment="1">
      <alignment horizontal="left" vertical="center" wrapText="1" indent="4"/>
      <protection/>
    </xf>
    <xf numFmtId="0" fontId="3" fillId="36" borderId="27" xfId="53" applyFont="1" applyFill="1" applyBorder="1" applyAlignment="1">
      <alignment vertical="center" wrapText="1"/>
      <protection/>
    </xf>
    <xf numFmtId="0" fontId="4" fillId="0" borderId="27" xfId="53" applyFont="1" applyFill="1" applyBorder="1" applyAlignment="1">
      <alignment horizontal="left" vertical="center" wrapText="1" indent="8"/>
      <protection/>
    </xf>
    <xf numFmtId="0" fontId="4" fillId="0" borderId="28" xfId="53" applyFont="1" applyFill="1" applyBorder="1" applyAlignment="1">
      <alignment horizontal="left" vertical="center" wrapText="1" indent="8"/>
      <protection/>
    </xf>
    <xf numFmtId="49" fontId="3" fillId="0" borderId="33" xfId="52" applyNumberFormat="1" applyFont="1" applyFill="1" applyBorder="1" applyAlignment="1">
      <alignment horizontal="left" vertical="center" wrapText="1"/>
      <protection/>
    </xf>
    <xf numFmtId="4" fontId="3" fillId="34" borderId="16" xfId="52" applyNumberFormat="1" applyFont="1" applyFill="1" applyBorder="1" applyAlignment="1">
      <alignment horizontal="right" vertical="center" wrapText="1"/>
      <protection/>
    </xf>
    <xf numFmtId="4" fontId="4" fillId="0" borderId="34" xfId="52" applyNumberFormat="1" applyFont="1" applyFill="1" applyBorder="1" applyAlignment="1">
      <alignment horizontal="right" vertical="center" wrapText="1"/>
      <protection/>
    </xf>
    <xf numFmtId="4" fontId="3" fillId="34" borderId="34" xfId="52" applyNumberFormat="1" applyFont="1" applyFill="1" applyBorder="1" applyAlignment="1">
      <alignment horizontal="right" vertical="center" wrapText="1"/>
      <protection/>
    </xf>
    <xf numFmtId="4" fontId="3" fillId="39" borderId="34" xfId="52" applyNumberFormat="1" applyFont="1" applyFill="1" applyBorder="1" applyAlignment="1">
      <alignment horizontal="right" vertical="center" wrapText="1"/>
      <protection/>
    </xf>
    <xf numFmtId="4" fontId="3" fillId="34" borderId="35" xfId="52" applyNumberFormat="1" applyFont="1" applyFill="1" applyBorder="1" applyAlignment="1" applyProtection="1">
      <alignment horizontal="right" vertical="center" wrapText="1"/>
      <protection locked="0"/>
    </xf>
    <xf numFmtId="4" fontId="3" fillId="0" borderId="34" xfId="52" applyNumberFormat="1" applyFont="1" applyFill="1" applyBorder="1" applyAlignment="1">
      <alignment horizontal="right" vertical="center" wrapText="1"/>
      <protection/>
    </xf>
    <xf numFmtId="4" fontId="5" fillId="34" borderId="36" xfId="52" applyNumberFormat="1" applyFont="1" applyFill="1" applyBorder="1" applyAlignment="1">
      <alignment horizontal="right" vertical="center" wrapText="1"/>
      <protection/>
    </xf>
    <xf numFmtId="4" fontId="4" fillId="0" borderId="36" xfId="52" applyNumberFormat="1" applyFont="1" applyBorder="1" applyAlignment="1">
      <alignment horizontal="right"/>
      <protection/>
    </xf>
    <xf numFmtId="4" fontId="5" fillId="34" borderId="35" xfId="52" applyNumberFormat="1" applyFont="1" applyFill="1" applyBorder="1" applyAlignment="1">
      <alignment horizontal="right" vertical="center" wrapText="1"/>
      <protection/>
    </xf>
    <xf numFmtId="4" fontId="5" fillId="34" borderId="34" xfId="52" applyNumberFormat="1" applyFont="1" applyFill="1" applyBorder="1" applyAlignment="1">
      <alignment horizontal="right" vertical="center" wrapText="1"/>
      <protection/>
    </xf>
    <xf numFmtId="4" fontId="4" fillId="0" borderId="37" xfId="52" applyNumberFormat="1" applyFont="1" applyFill="1" applyBorder="1" applyAlignment="1">
      <alignment horizontal="right" vertical="center" wrapText="1"/>
      <protection/>
    </xf>
    <xf numFmtId="4" fontId="5" fillId="34" borderId="37" xfId="52" applyNumberFormat="1" applyFont="1" applyFill="1" applyBorder="1" applyAlignment="1">
      <alignment horizontal="right" vertical="center" wrapText="1"/>
      <protection/>
    </xf>
    <xf numFmtId="0" fontId="33" fillId="0" borderId="0" xfId="0" applyFont="1" applyAlignment="1">
      <alignment/>
    </xf>
    <xf numFmtId="4" fontId="3" fillId="36" borderId="34" xfId="52" applyNumberFormat="1" applyFont="1" applyFill="1" applyBorder="1" applyAlignment="1">
      <alignment horizontal="right" vertical="center" wrapText="1"/>
      <protection/>
    </xf>
    <xf numFmtId="4" fontId="3" fillId="36" borderId="35" xfId="52" applyNumberFormat="1" applyFont="1" applyFill="1" applyBorder="1" applyAlignment="1">
      <alignment horizontal="right" vertical="center" wrapText="1"/>
      <protection/>
    </xf>
    <xf numFmtId="4" fontId="3" fillId="36" borderId="34" xfId="52" applyNumberFormat="1" applyFont="1" applyFill="1" applyBorder="1" applyAlignment="1">
      <alignment vertical="center" wrapText="1"/>
      <protection/>
    </xf>
    <xf numFmtId="4" fontId="4" fillId="0" borderId="34" xfId="52" applyNumberFormat="1" applyFont="1" applyFill="1" applyBorder="1" applyAlignment="1">
      <alignment vertical="center" wrapText="1"/>
      <protection/>
    </xf>
    <xf numFmtId="4" fontId="4" fillId="0" borderId="35" xfId="52" applyNumberFormat="1" applyFont="1" applyBorder="1">
      <alignment/>
      <protection/>
    </xf>
    <xf numFmtId="4" fontId="3" fillId="36" borderId="37" xfId="0" applyNumberFormat="1" applyFont="1" applyFill="1" applyBorder="1" applyAlignment="1" applyProtection="1">
      <alignment horizontal="right" vertical="center"/>
      <protection/>
    </xf>
    <xf numFmtId="4" fontId="3" fillId="36" borderId="34" xfId="0" applyNumberFormat="1" applyFont="1" applyFill="1" applyBorder="1" applyAlignment="1" applyProtection="1">
      <alignment horizontal="right" vertical="center"/>
      <protection/>
    </xf>
    <xf numFmtId="4" fontId="4" fillId="0" borderId="37" xfId="0" applyNumberFormat="1" applyFont="1" applyFill="1" applyBorder="1" applyAlignment="1" applyProtection="1">
      <alignment horizontal="right" vertical="center"/>
      <protection/>
    </xf>
    <xf numFmtId="4" fontId="4" fillId="0" borderId="34" xfId="0" applyNumberFormat="1" applyFont="1" applyFill="1" applyBorder="1" applyAlignment="1" applyProtection="1">
      <alignment horizontal="right" vertical="center"/>
      <protection/>
    </xf>
    <xf numFmtId="4" fontId="3" fillId="36" borderId="38" xfId="0" applyNumberFormat="1" applyFont="1" applyFill="1" applyBorder="1" applyAlignment="1" applyProtection="1">
      <alignment horizontal="right" vertical="center"/>
      <protection/>
    </xf>
    <xf numFmtId="4" fontId="3" fillId="36" borderId="35" xfId="0" applyNumberFormat="1" applyFont="1" applyFill="1" applyBorder="1" applyAlignment="1" applyProtection="1">
      <alignment horizontal="right" vertical="center"/>
      <protection/>
    </xf>
    <xf numFmtId="4" fontId="7" fillId="0" borderId="17" xfId="0" applyNumberFormat="1" applyFont="1" applyFill="1" applyBorder="1" applyAlignment="1">
      <alignment horizontal="right" vertical="center"/>
    </xf>
    <xf numFmtId="4" fontId="7" fillId="37" borderId="17" xfId="0" applyNumberFormat="1" applyFont="1" applyFill="1" applyBorder="1" applyAlignment="1">
      <alignment horizontal="right" vertical="center"/>
    </xf>
    <xf numFmtId="4" fontId="7" fillId="0" borderId="39" xfId="0" applyNumberFormat="1" applyFont="1" applyFill="1" applyBorder="1" applyAlignment="1">
      <alignment horizontal="right" vertical="center"/>
    </xf>
    <xf numFmtId="4" fontId="7" fillId="37" borderId="39" xfId="0" applyNumberFormat="1" applyFont="1" applyFill="1" applyBorder="1" applyAlignment="1">
      <alignment horizontal="right" vertical="center"/>
    </xf>
    <xf numFmtId="4" fontId="7" fillId="37" borderId="17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5" fillId="34" borderId="38" xfId="52" applyNumberFormat="1" applyFont="1" applyFill="1" applyBorder="1" applyAlignment="1">
      <alignment horizontal="right" vertical="center" wrapText="1"/>
      <protection/>
    </xf>
    <xf numFmtId="2" fontId="7" fillId="0" borderId="40" xfId="56" applyNumberFormat="1" applyFont="1" applyFill="1" applyBorder="1" applyAlignment="1">
      <alignment horizontal="center" vertical="center"/>
    </xf>
    <xf numFmtId="2" fontId="7" fillId="37" borderId="40" xfId="56" applyNumberFormat="1" applyFont="1" applyFill="1" applyBorder="1" applyAlignment="1">
      <alignment horizontal="center" vertical="center"/>
    </xf>
    <xf numFmtId="4" fontId="7" fillId="37" borderId="40" xfId="0" applyNumberFormat="1" applyFont="1" applyFill="1" applyBorder="1" applyAlignment="1">
      <alignment horizontal="center" wrapText="1"/>
    </xf>
    <xf numFmtId="4" fontId="7" fillId="39" borderId="40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vertical="center"/>
    </xf>
    <xf numFmtId="4" fontId="7" fillId="37" borderId="17" xfId="0" applyNumberFormat="1" applyFont="1" applyFill="1" applyBorder="1" applyAlignment="1">
      <alignment horizontal="center" vertical="center"/>
    </xf>
    <xf numFmtId="4" fontId="7" fillId="37" borderId="17" xfId="0" applyNumberFormat="1" applyFont="1" applyFill="1" applyBorder="1" applyAlignment="1">
      <alignment horizontal="center" wrapText="1"/>
    </xf>
    <xf numFmtId="0" fontId="3" fillId="38" borderId="14" xfId="52" applyFont="1" applyFill="1" applyBorder="1" applyAlignment="1">
      <alignment horizontal="center" vertical="center" wrapText="1"/>
      <protection/>
    </xf>
    <xf numFmtId="0" fontId="3" fillId="3" borderId="41" xfId="52" applyFont="1" applyFill="1" applyBorder="1" applyAlignment="1">
      <alignment horizontal="center" vertical="center" wrapText="1"/>
      <protection/>
    </xf>
    <xf numFmtId="0" fontId="3" fillId="3" borderId="16" xfId="52" applyFont="1" applyFill="1" applyBorder="1" applyAlignment="1">
      <alignment horizontal="center" vertical="center" wrapText="1"/>
      <protection/>
    </xf>
    <xf numFmtId="4" fontId="3" fillId="34" borderId="15" xfId="52" applyNumberFormat="1" applyFont="1" applyFill="1" applyBorder="1" applyAlignment="1">
      <alignment horizontal="right" vertical="center" wrapText="1"/>
      <protection/>
    </xf>
    <xf numFmtId="4" fontId="3" fillId="34" borderId="37" xfId="52" applyNumberFormat="1" applyFont="1" applyFill="1" applyBorder="1" applyAlignment="1">
      <alignment horizontal="right" vertical="center" wrapText="1"/>
      <protection/>
    </xf>
    <xf numFmtId="4" fontId="4" fillId="0" borderId="36" xfId="52" applyNumberFormat="1" applyFont="1" applyFill="1" applyBorder="1" applyAlignment="1">
      <alignment horizontal="right" vertical="center" wrapText="1"/>
      <protection/>
    </xf>
    <xf numFmtId="4" fontId="3" fillId="39" borderId="37" xfId="52" applyNumberFormat="1" applyFont="1" applyFill="1" applyBorder="1" applyAlignment="1">
      <alignment horizontal="right" vertical="center" wrapText="1"/>
      <protection/>
    </xf>
    <xf numFmtId="4" fontId="3" fillId="34" borderId="38" xfId="52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52" applyNumberFormat="1" applyFont="1" applyFill="1" applyBorder="1" applyAlignment="1">
      <alignment horizontal="right" vertical="center" wrapText="1"/>
      <protection/>
    </xf>
    <xf numFmtId="0" fontId="3" fillId="33" borderId="15" xfId="52" applyFont="1" applyFill="1" applyBorder="1" applyAlignment="1">
      <alignment horizontal="center" vertical="center" wrapText="1"/>
      <protection/>
    </xf>
    <xf numFmtId="4" fontId="3" fillId="36" borderId="37" xfId="52" applyNumberFormat="1" applyFont="1" applyFill="1" applyBorder="1" applyAlignment="1">
      <alignment horizontal="right" vertical="center" wrapText="1"/>
      <protection/>
    </xf>
    <xf numFmtId="4" fontId="3" fillId="36" borderId="38" xfId="52" applyNumberFormat="1" applyFont="1" applyFill="1" applyBorder="1" applyAlignment="1">
      <alignment horizontal="right" vertical="center" wrapText="1"/>
      <protection/>
    </xf>
    <xf numFmtId="4" fontId="3" fillId="36" borderId="37" xfId="52" applyNumberFormat="1" applyFont="1" applyFill="1" applyBorder="1" applyAlignment="1">
      <alignment vertical="center" wrapText="1"/>
      <protection/>
    </xf>
    <xf numFmtId="4" fontId="4" fillId="0" borderId="37" xfId="52" applyNumberFormat="1" applyFont="1" applyFill="1" applyBorder="1" applyAlignment="1">
      <alignment vertical="center" wrapText="1"/>
      <protection/>
    </xf>
    <xf numFmtId="4" fontId="4" fillId="0" borderId="38" xfId="52" applyNumberFormat="1" applyFont="1" applyBorder="1">
      <alignment/>
      <protection/>
    </xf>
    <xf numFmtId="0" fontId="3" fillId="36" borderId="42" xfId="53" applyFont="1" applyFill="1" applyBorder="1" applyAlignment="1">
      <alignment horizontal="center" vertical="center" wrapText="1"/>
      <protection/>
    </xf>
    <xf numFmtId="43" fontId="3" fillId="36" borderId="42" xfId="42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43" fontId="51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166" fontId="51" fillId="0" borderId="0" xfId="0" applyNumberFormat="1" applyFont="1" applyFill="1" applyAlignment="1">
      <alignment horizontal="center"/>
    </xf>
    <xf numFmtId="43" fontId="0" fillId="0" borderId="0" xfId="0" applyNumberFormat="1" applyAlignment="1">
      <alignment/>
    </xf>
    <xf numFmtId="43" fontId="3" fillId="36" borderId="42" xfId="42" applyFont="1" applyFill="1" applyBorder="1" applyAlignment="1">
      <alignment vertical="center" wrapText="1"/>
    </xf>
    <xf numFmtId="43" fontId="60" fillId="36" borderId="42" xfId="42" applyFont="1" applyFill="1" applyBorder="1" applyAlignment="1">
      <alignment horizontal="left" vertical="center" wrapText="1"/>
    </xf>
    <xf numFmtId="43" fontId="60" fillId="36" borderId="42" xfId="42" applyFont="1" applyFill="1" applyBorder="1" applyAlignment="1">
      <alignment horizontal="center" vertical="center" wrapText="1"/>
    </xf>
    <xf numFmtId="0" fontId="3" fillId="36" borderId="42" xfId="53" applyFont="1" applyFill="1" applyBorder="1" applyAlignment="1">
      <alignment horizontal="left" vertical="center" wrapText="1"/>
      <protection/>
    </xf>
    <xf numFmtId="0" fontId="3" fillId="3" borderId="14" xfId="52" applyFont="1" applyFill="1" applyBorder="1" applyAlignment="1">
      <alignment horizontal="center" vertical="center" wrapText="1"/>
      <protection/>
    </xf>
    <xf numFmtId="43" fontId="3" fillId="0" borderId="42" xfId="42" applyFont="1" applyFill="1" applyBorder="1" applyAlignment="1">
      <alignment horizontal="right" vertical="center" wrapText="1"/>
    </xf>
    <xf numFmtId="43" fontId="4" fillId="0" borderId="42" xfId="42" applyFont="1" applyFill="1" applyBorder="1" applyAlignment="1">
      <alignment horizontal="right" vertical="center" wrapText="1"/>
    </xf>
    <xf numFmtId="43" fontId="4" fillId="39" borderId="42" xfId="42" applyFont="1" applyFill="1" applyBorder="1" applyAlignment="1">
      <alignment horizontal="right" vertical="center" wrapText="1"/>
    </xf>
    <xf numFmtId="165" fontId="4" fillId="0" borderId="42" xfId="42" applyNumberFormat="1" applyFont="1" applyFill="1" applyBorder="1" applyAlignment="1">
      <alignment horizontal="right" vertical="center" wrapText="1"/>
    </xf>
    <xf numFmtId="165" fontId="3" fillId="0" borderId="42" xfId="42" applyNumberFormat="1" applyFont="1" applyFill="1" applyBorder="1" applyAlignment="1">
      <alignment horizontal="right" vertical="center" wrapText="1"/>
    </xf>
    <xf numFmtId="166" fontId="3" fillId="0" borderId="42" xfId="42" applyNumberFormat="1" applyFont="1" applyFill="1" applyBorder="1" applyAlignment="1">
      <alignment horizontal="right" vertical="center" wrapText="1"/>
    </xf>
    <xf numFmtId="43" fontId="3" fillId="36" borderId="42" xfId="42" applyFont="1" applyFill="1" applyBorder="1" applyAlignment="1">
      <alignment horizontal="right" vertical="center" wrapText="1"/>
    </xf>
    <xf numFmtId="166" fontId="3" fillId="36" borderId="42" xfId="42" applyNumberFormat="1" applyFont="1" applyFill="1" applyBorder="1" applyAlignment="1">
      <alignment horizontal="right" vertical="center" wrapText="1"/>
    </xf>
    <xf numFmtId="43" fontId="60" fillId="36" borderId="42" xfId="42" applyFont="1" applyFill="1" applyBorder="1" applyAlignment="1">
      <alignment horizontal="right" vertical="center" wrapText="1"/>
    </xf>
    <xf numFmtId="166" fontId="60" fillId="36" borderId="42" xfId="42" applyNumberFormat="1" applyFont="1" applyFill="1" applyBorder="1" applyAlignment="1">
      <alignment horizontal="right" vertical="center" wrapText="1"/>
    </xf>
    <xf numFmtId="43" fontId="4" fillId="0" borderId="43" xfId="42" applyFont="1" applyFill="1" applyBorder="1" applyAlignment="1">
      <alignment horizontal="right" vertical="center" wrapText="1"/>
    </xf>
    <xf numFmtId="43" fontId="4" fillId="0" borderId="43" xfId="42" applyNumberFormat="1" applyFont="1" applyFill="1" applyBorder="1" applyAlignment="1">
      <alignment horizontal="right" vertical="center" wrapText="1"/>
    </xf>
    <xf numFmtId="43" fontId="3" fillId="36" borderId="44" xfId="42" applyNumberFormat="1" applyFont="1" applyFill="1" applyBorder="1" applyAlignment="1">
      <alignment vertical="center"/>
    </xf>
    <xf numFmtId="43" fontId="3" fillId="36" borderId="42" xfId="42" applyNumberFormat="1" applyFont="1" applyFill="1" applyBorder="1" applyAlignment="1">
      <alignment horizontal="right" vertical="center" wrapText="1"/>
    </xf>
    <xf numFmtId="164" fontId="7" fillId="0" borderId="45" xfId="0" applyNumberFormat="1" applyFont="1" applyFill="1" applyBorder="1" applyAlignment="1">
      <alignment horizontal="center"/>
    </xf>
    <xf numFmtId="164" fontId="58" fillId="0" borderId="44" xfId="0" applyNumberFormat="1" applyFont="1" applyBorder="1" applyAlignment="1">
      <alignment horizontal="center" vertical="center"/>
    </xf>
    <xf numFmtId="4" fontId="7" fillId="39" borderId="39" xfId="0" applyNumberFormat="1" applyFont="1" applyFill="1" applyBorder="1" applyAlignment="1">
      <alignment horizontal="right" vertical="center"/>
    </xf>
    <xf numFmtId="4" fontId="7" fillId="39" borderId="17" xfId="0" applyNumberFormat="1" applyFont="1" applyFill="1" applyBorder="1" applyAlignment="1">
      <alignment horizontal="right"/>
    </xf>
    <xf numFmtId="4" fontId="7" fillId="39" borderId="17" xfId="0" applyNumberFormat="1" applyFont="1" applyFill="1" applyBorder="1" applyAlignment="1">
      <alignment horizontal="center" wrapText="1"/>
    </xf>
    <xf numFmtId="10" fontId="7" fillId="37" borderId="46" xfId="0" applyNumberFormat="1" applyFont="1" applyFill="1" applyBorder="1" applyAlignment="1">
      <alignment horizontal="center" vertical="center"/>
    </xf>
    <xf numFmtId="10" fontId="7" fillId="37" borderId="47" xfId="0" applyNumberFormat="1" applyFont="1" applyFill="1" applyBorder="1" applyAlignment="1">
      <alignment horizontal="center" vertical="center"/>
    </xf>
    <xf numFmtId="10" fontId="7" fillId="37" borderId="39" xfId="0" applyNumberFormat="1" applyFont="1" applyFill="1" applyBorder="1" applyAlignment="1">
      <alignment horizontal="center" vertical="center"/>
    </xf>
    <xf numFmtId="10" fontId="7" fillId="0" borderId="46" xfId="0" applyNumberFormat="1" applyFont="1" applyFill="1" applyBorder="1" applyAlignment="1">
      <alignment horizontal="center" vertical="center"/>
    </xf>
    <xf numFmtId="10" fontId="7" fillId="0" borderId="47" xfId="0" applyNumberFormat="1" applyFont="1" applyFill="1" applyBorder="1" applyAlignment="1">
      <alignment horizontal="center" vertical="center"/>
    </xf>
    <xf numFmtId="10" fontId="7" fillId="0" borderId="39" xfId="0" applyNumberFormat="1" applyFont="1" applyFill="1" applyBorder="1" applyAlignment="1">
      <alignment horizontal="center" vertical="center"/>
    </xf>
    <xf numFmtId="0" fontId="33" fillId="0" borderId="48" xfId="0" applyFont="1" applyBorder="1" applyAlignment="1">
      <alignment horizontal="center"/>
    </xf>
    <xf numFmtId="0" fontId="33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59" fillId="0" borderId="53" xfId="0" applyFont="1" applyBorder="1" applyAlignment="1">
      <alignment horizontal="center"/>
    </xf>
    <xf numFmtId="0" fontId="59" fillId="0" borderId="54" xfId="0" applyFont="1" applyBorder="1" applyAlignment="1">
      <alignment horizontal="center"/>
    </xf>
    <xf numFmtId="0" fontId="6" fillId="0" borderId="55" xfId="0" applyFont="1" applyFill="1" applyBorder="1" applyAlignment="1">
      <alignment horizontal="justify"/>
    </xf>
    <xf numFmtId="0" fontId="6" fillId="0" borderId="46" xfId="0" applyFont="1" applyFill="1" applyBorder="1" applyAlignment="1">
      <alignment horizontal="justify"/>
    </xf>
    <xf numFmtId="0" fontId="8" fillId="3" borderId="40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justify" vertical="top"/>
    </xf>
    <xf numFmtId="0" fontId="6" fillId="0" borderId="46" xfId="0" applyFont="1" applyFill="1" applyBorder="1" applyAlignment="1">
      <alignment horizontal="justify" vertical="top"/>
    </xf>
    <xf numFmtId="0" fontId="6" fillId="0" borderId="32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ilans_przekształceń" xfId="52"/>
    <cellStyle name="Normalny_Skonsolidowane sprawozdanie finansow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0</xdr:rowOff>
    </xdr:from>
    <xdr:to>
      <xdr:col>14</xdr:col>
      <xdr:colOff>76200</xdr:colOff>
      <xdr:row>38</xdr:row>
      <xdr:rowOff>28575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7096125" y="190500"/>
          <a:ext cx="4333875" cy="7077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Objaśnienia: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Wskaźnik rentowności operacyjnej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na działalności operacyjnej / przychody ze sprzedaży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określa, ile zysku netto (po opodatkowaniu) przypada na 1 złoty przychodów firmy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Wskaźnik rentowności EBITDA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(wynika na działalności operacyjnej+amortyzacja)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mierzy efektywność konwersji przychodów na zysk z działalności ciągłej przed odsetkami od zaciągniętych kredytów, podatkami, deprecjacją i amortyzacją oraz przed pozycjami wyjątkowymi.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netto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Wynik netto / Przychody ze sprzedaży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inwestorów ile procent przychodów ze sprzedaży stanowi zysk netto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Wskaśnik rentowności kapitału własnego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(ROE)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Kapitał własny, gdzie: Kapitał własny = Aktywa ogółem - Zobowiązania (krótko i długoterminowe)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określa stopę zyskowności zainwestowanych w firmie kapitałów własnych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Wskaźnik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rentowności majątku (ROA)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Wynik netto / aktywa  ogółem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tym jaka jest rentowność wszystkich aktywów firmy w stosunku do wypracowanych przez nią zysków,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czy innymi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słowy ile zysku netto  przynosi każda złotówka zaangażowana w finansowanie majątku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 Wskaźnik ogólnej płynności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aktywa obrotowe / zobowiązania krótkoterminowe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informuje o zdolności przedsiębiorstwa do regulowania zobowiązań w oparciu o wszystkie aktywa obrotowe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 Wskaźnik ogólnego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zadłużenia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Formuła: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zobowiązania ogółem / aktywa rezem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Opis: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mówi o tym jaki udział w finansowaniu majątku firmy mają zobowiązania i dług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tabSelected="1" zoomScalePageLayoutView="0" workbookViewId="0" topLeftCell="A1">
      <selection activeCell="C2" sqref="C2:F2"/>
    </sheetView>
  </sheetViews>
  <sheetFormatPr defaultColWidth="9.140625" defaultRowHeight="15"/>
  <cols>
    <col min="1" max="1" width="2.00390625" style="0" customWidth="1"/>
    <col min="2" max="2" width="50.7109375" style="0" customWidth="1"/>
    <col min="3" max="3" width="12.140625" style="74" customWidth="1"/>
    <col min="4" max="4" width="11.8515625" style="74" customWidth="1"/>
    <col min="5" max="6" width="12.00390625" style="74" customWidth="1"/>
  </cols>
  <sheetData>
    <row r="1" ht="15.75" thickBot="1"/>
    <row r="2" spans="3:6" ht="16.5" thickBot="1" thickTop="1">
      <c r="C2" s="154" t="s">
        <v>28</v>
      </c>
      <c r="D2" s="155"/>
      <c r="E2" s="155"/>
      <c r="F2" s="156"/>
    </row>
    <row r="3" spans="2:6" ht="34.5" thickTop="1">
      <c r="B3" s="10"/>
      <c r="C3" s="11" t="s">
        <v>168</v>
      </c>
      <c r="D3" s="100" t="s">
        <v>169</v>
      </c>
      <c r="E3" s="12" t="s">
        <v>170</v>
      </c>
      <c r="F3" s="101" t="s">
        <v>171</v>
      </c>
    </row>
    <row r="4" spans="2:6" ht="15">
      <c r="B4" s="2" t="s">
        <v>0</v>
      </c>
      <c r="C4" s="103">
        <f>C5+C6</f>
        <v>315</v>
      </c>
      <c r="D4" s="62">
        <f>D6+D5</f>
        <v>255</v>
      </c>
      <c r="E4" s="103">
        <f>E5+E6</f>
        <v>645</v>
      </c>
      <c r="F4" s="62">
        <f>F6+F5</f>
        <v>470.21</v>
      </c>
    </row>
    <row r="5" spans="2:6" ht="15">
      <c r="B5" s="3" t="s">
        <v>1</v>
      </c>
      <c r="C5" s="72">
        <v>315</v>
      </c>
      <c r="D5" s="63">
        <v>255</v>
      </c>
      <c r="E5" s="72">
        <v>645</v>
      </c>
      <c r="F5" s="63">
        <v>470.21</v>
      </c>
    </row>
    <row r="6" spans="2:6" ht="15">
      <c r="B6" s="3" t="s">
        <v>2</v>
      </c>
      <c r="C6" s="72">
        <v>0</v>
      </c>
      <c r="D6" s="63">
        <v>0</v>
      </c>
      <c r="E6" s="72">
        <v>0</v>
      </c>
      <c r="F6" s="63">
        <v>0</v>
      </c>
    </row>
    <row r="7" spans="2:6" ht="15">
      <c r="B7" s="2" t="s">
        <v>3</v>
      </c>
      <c r="C7" s="103">
        <f>C8+C9</f>
        <v>0</v>
      </c>
      <c r="D7" s="62">
        <f>D9+D8</f>
        <v>-0.09</v>
      </c>
      <c r="E7" s="103">
        <f>E8+E9</f>
        <v>0</v>
      </c>
      <c r="F7" s="62">
        <f>F9+F8</f>
        <v>1.16</v>
      </c>
    </row>
    <row r="8" spans="2:6" ht="15">
      <c r="B8" s="3" t="s">
        <v>4</v>
      </c>
      <c r="C8" s="72">
        <v>0</v>
      </c>
      <c r="D8" s="63">
        <v>-0.09</v>
      </c>
      <c r="E8" s="72">
        <v>0</v>
      </c>
      <c r="F8" s="63">
        <v>1.16</v>
      </c>
    </row>
    <row r="9" spans="2:6" ht="15">
      <c r="B9" s="3" t="s">
        <v>5</v>
      </c>
      <c r="C9" s="72">
        <v>0</v>
      </c>
      <c r="D9" s="63">
        <v>0</v>
      </c>
      <c r="E9" s="72">
        <v>0</v>
      </c>
      <c r="F9" s="63">
        <v>0</v>
      </c>
    </row>
    <row r="10" spans="2:6" ht="15">
      <c r="B10" s="8" t="s">
        <v>6</v>
      </c>
      <c r="C10" s="104">
        <f>C4-C7</f>
        <v>315</v>
      </c>
      <c r="D10" s="64">
        <f>D4-D7</f>
        <v>255.09</v>
      </c>
      <c r="E10" s="104">
        <f>E4-E7</f>
        <v>645</v>
      </c>
      <c r="F10" s="64">
        <f>F4-F7</f>
        <v>469.04999999999995</v>
      </c>
    </row>
    <row r="11" spans="2:6" ht="22.5">
      <c r="B11" s="3" t="s">
        <v>7</v>
      </c>
      <c r="C11" s="72">
        <v>0</v>
      </c>
      <c r="D11" s="63">
        <v>0</v>
      </c>
      <c r="E11" s="72">
        <f>C11</f>
        <v>0</v>
      </c>
      <c r="F11" s="63">
        <v>0</v>
      </c>
    </row>
    <row r="12" spans="2:6" ht="15">
      <c r="B12" s="4" t="s">
        <v>8</v>
      </c>
      <c r="C12" s="72">
        <v>0.08</v>
      </c>
      <c r="D12" s="63">
        <v>3.16</v>
      </c>
      <c r="E12" s="72">
        <v>0.24</v>
      </c>
      <c r="F12" s="63">
        <v>3.63</v>
      </c>
    </row>
    <row r="13" spans="2:6" ht="15">
      <c r="B13" s="4" t="s">
        <v>9</v>
      </c>
      <c r="C13" s="72">
        <v>0</v>
      </c>
      <c r="D13" s="63">
        <v>0</v>
      </c>
      <c r="E13" s="72">
        <f>C13</f>
        <v>0</v>
      </c>
      <c r="F13" s="63">
        <v>0</v>
      </c>
    </row>
    <row r="14" spans="2:6" ht="15">
      <c r="B14" s="4" t="s">
        <v>10</v>
      </c>
      <c r="C14" s="72">
        <v>214.32</v>
      </c>
      <c r="D14" s="63">
        <v>222.82</v>
      </c>
      <c r="E14" s="72">
        <v>673.87</v>
      </c>
      <c r="F14" s="63">
        <v>688.99</v>
      </c>
    </row>
    <row r="15" spans="2:6" ht="15">
      <c r="B15" s="4" t="s">
        <v>11</v>
      </c>
      <c r="C15" s="72">
        <v>0</v>
      </c>
      <c r="D15" s="63">
        <v>0</v>
      </c>
      <c r="E15" s="72">
        <f>C15</f>
        <v>0</v>
      </c>
      <c r="F15" s="63">
        <v>0</v>
      </c>
    </row>
    <row r="16" spans="2:6" ht="15">
      <c r="B16" s="4" t="s">
        <v>12</v>
      </c>
      <c r="C16" s="72">
        <v>42.35</v>
      </c>
      <c r="D16" s="63">
        <v>1.8</v>
      </c>
      <c r="E16" s="72">
        <v>42.35</v>
      </c>
      <c r="F16" s="63">
        <v>1.86</v>
      </c>
    </row>
    <row r="17" spans="2:6" ht="15">
      <c r="B17" s="8" t="s">
        <v>13</v>
      </c>
      <c r="C17" s="104">
        <f>C10+C11+C12-C13-C14-C15-C16</f>
        <v>58.40999999999999</v>
      </c>
      <c r="D17" s="64">
        <f>D10+D11+D12-D13-D14-D15-D16</f>
        <v>33.63000000000001</v>
      </c>
      <c r="E17" s="104">
        <f>E10+E11+E12-E13-E14-E15-E16</f>
        <v>-70.97999999999999</v>
      </c>
      <c r="F17" s="64">
        <f>F10+F11+F12-F13-F14-F15-F16</f>
        <v>-218.17000000000007</v>
      </c>
    </row>
    <row r="18" spans="2:6" ht="15">
      <c r="B18" s="4" t="s">
        <v>14</v>
      </c>
      <c r="C18" s="72">
        <f>2.54+0.03</f>
        <v>2.57</v>
      </c>
      <c r="D18" s="63">
        <v>0.76</v>
      </c>
      <c r="E18" s="72">
        <v>702.54</v>
      </c>
      <c r="F18" s="63">
        <v>703.45</v>
      </c>
    </row>
    <row r="19" spans="2:6" ht="15">
      <c r="B19" s="4" t="s">
        <v>15</v>
      </c>
      <c r="C19" s="72">
        <v>0</v>
      </c>
      <c r="D19" s="63">
        <v>0</v>
      </c>
      <c r="E19" s="72">
        <v>0.1</v>
      </c>
      <c r="F19" s="63">
        <v>0</v>
      </c>
    </row>
    <row r="20" spans="2:6" ht="22.5">
      <c r="B20" s="4" t="s">
        <v>16</v>
      </c>
      <c r="C20" s="72">
        <v>0</v>
      </c>
      <c r="D20" s="63">
        <v>0</v>
      </c>
      <c r="E20" s="72">
        <f>C20</f>
        <v>0</v>
      </c>
      <c r="F20" s="63">
        <v>0</v>
      </c>
    </row>
    <row r="21" spans="2:6" ht="15">
      <c r="B21" s="8" t="s">
        <v>17</v>
      </c>
      <c r="C21" s="104">
        <f>C17+C18-C19-C20</f>
        <v>60.97999999999999</v>
      </c>
      <c r="D21" s="64">
        <f>D17+D18-D19-D20</f>
        <v>34.39000000000001</v>
      </c>
      <c r="E21" s="104">
        <f>E17+E18-E19-E20</f>
        <v>631.4599999999999</v>
      </c>
      <c r="F21" s="64">
        <f>F17+F18-F19-F20</f>
        <v>485.28</v>
      </c>
    </row>
    <row r="22" spans="2:6" ht="15">
      <c r="B22" s="4" t="s">
        <v>18</v>
      </c>
      <c r="C22" s="72">
        <v>0</v>
      </c>
      <c r="D22" s="63">
        <v>0</v>
      </c>
      <c r="E22" s="72">
        <v>0</v>
      </c>
      <c r="F22" s="63">
        <v>0</v>
      </c>
    </row>
    <row r="23" spans="2:6" ht="15">
      <c r="B23" s="61" t="s">
        <v>19</v>
      </c>
      <c r="C23" s="105">
        <v>0</v>
      </c>
      <c r="D23" s="63">
        <v>0</v>
      </c>
      <c r="E23" s="72">
        <v>0</v>
      </c>
      <c r="F23" s="63">
        <v>0</v>
      </c>
    </row>
    <row r="24" spans="2:6" ht="15">
      <c r="B24" s="8" t="s">
        <v>20</v>
      </c>
      <c r="C24" s="104">
        <v>60.98</v>
      </c>
      <c r="D24" s="64">
        <v>34.3</v>
      </c>
      <c r="E24" s="104">
        <v>631.46</v>
      </c>
      <c r="F24" s="75">
        <v>485.28</v>
      </c>
    </row>
    <row r="25" spans="2:6" ht="15">
      <c r="B25" s="2" t="s">
        <v>21</v>
      </c>
      <c r="C25" s="104">
        <v>0</v>
      </c>
      <c r="D25" s="64">
        <v>0</v>
      </c>
      <c r="E25" s="104">
        <v>0</v>
      </c>
      <c r="F25" s="64">
        <v>0</v>
      </c>
    </row>
    <row r="26" spans="2:6" ht="15">
      <c r="B26" s="8" t="s">
        <v>22</v>
      </c>
      <c r="C26" s="104">
        <f>C21</f>
        <v>60.97999999999999</v>
      </c>
      <c r="D26" s="64">
        <f>D24</f>
        <v>34.3</v>
      </c>
      <c r="E26" s="104">
        <f>E21</f>
        <v>631.4599999999999</v>
      </c>
      <c r="F26" s="75">
        <f>F24</f>
        <v>485.28</v>
      </c>
    </row>
    <row r="27" spans="2:6" ht="23.25" customHeight="1">
      <c r="B27" s="61" t="s">
        <v>23</v>
      </c>
      <c r="C27" s="105">
        <f>C26</f>
        <v>60.97999999999999</v>
      </c>
      <c r="D27" s="63">
        <f>D26</f>
        <v>34.3</v>
      </c>
      <c r="E27" s="72">
        <f>E26</f>
        <v>631.4599999999999</v>
      </c>
      <c r="F27" s="63">
        <f>F26</f>
        <v>485.28</v>
      </c>
    </row>
    <row r="28" spans="2:6" ht="15">
      <c r="B28" s="61" t="s">
        <v>19</v>
      </c>
      <c r="C28" s="105">
        <v>0</v>
      </c>
      <c r="D28" s="63">
        <v>0</v>
      </c>
      <c r="E28" s="72">
        <v>0</v>
      </c>
      <c r="F28" s="63">
        <v>0</v>
      </c>
    </row>
    <row r="29" spans="2:6" ht="15">
      <c r="B29" s="6" t="s">
        <v>24</v>
      </c>
      <c r="C29" s="104">
        <f aca="true" t="shared" si="0" ref="C29:C34">$C$27*1000/7198570</f>
        <v>0.008471126904371283</v>
      </c>
      <c r="D29" s="64">
        <f aca="true" t="shared" si="1" ref="D29:D34">$D$27*1000/7198570</f>
        <v>0.004764835238109792</v>
      </c>
      <c r="E29" s="104">
        <f aca="true" t="shared" si="2" ref="E29:E34">$E$27*1000/7198570</f>
        <v>0.0877201999841635</v>
      </c>
      <c r="F29" s="64">
        <f aca="true" t="shared" si="3" ref="F29:F34">$F$27*1000/7198570</f>
        <v>0.06741338904810261</v>
      </c>
    </row>
    <row r="30" spans="2:6" ht="15">
      <c r="B30" s="7" t="s">
        <v>25</v>
      </c>
      <c r="C30" s="106">
        <f t="shared" si="0"/>
        <v>0.008471126904371283</v>
      </c>
      <c r="D30" s="65">
        <f t="shared" si="1"/>
        <v>0.004764835238109792</v>
      </c>
      <c r="E30" s="108">
        <f t="shared" si="2"/>
        <v>0.0877201999841635</v>
      </c>
      <c r="F30" s="67">
        <f t="shared" si="3"/>
        <v>0.06741338904810261</v>
      </c>
    </row>
    <row r="31" spans="2:6" ht="15">
      <c r="B31" s="7" t="s">
        <v>26</v>
      </c>
      <c r="C31" s="106">
        <f t="shared" si="0"/>
        <v>0.008471126904371283</v>
      </c>
      <c r="D31" s="65">
        <f t="shared" si="1"/>
        <v>0.004764835238109792</v>
      </c>
      <c r="E31" s="108">
        <f t="shared" si="2"/>
        <v>0.0877201999841635</v>
      </c>
      <c r="F31" s="67">
        <f t="shared" si="3"/>
        <v>0.06741338904810261</v>
      </c>
    </row>
    <row r="32" spans="2:6" ht="22.5">
      <c r="B32" s="8" t="s">
        <v>27</v>
      </c>
      <c r="C32" s="104">
        <f t="shared" si="0"/>
        <v>0.008471126904371283</v>
      </c>
      <c r="D32" s="64">
        <f t="shared" si="1"/>
        <v>0.004764835238109792</v>
      </c>
      <c r="E32" s="104">
        <f t="shared" si="2"/>
        <v>0.0877201999841635</v>
      </c>
      <c r="F32" s="64">
        <f t="shared" si="3"/>
        <v>0.06741338904810261</v>
      </c>
    </row>
    <row r="33" spans="2:6" ht="15">
      <c r="B33" s="3" t="s">
        <v>25</v>
      </c>
      <c r="C33" s="106">
        <f t="shared" si="0"/>
        <v>0.008471126904371283</v>
      </c>
      <c r="D33" s="65">
        <f t="shared" si="1"/>
        <v>0.004764835238109792</v>
      </c>
      <c r="E33" s="108">
        <f t="shared" si="2"/>
        <v>0.0877201999841635</v>
      </c>
      <c r="F33" s="67">
        <f t="shared" si="3"/>
        <v>0.06741338904810261</v>
      </c>
    </row>
    <row r="34" spans="2:6" ht="15">
      <c r="B34" s="3" t="s">
        <v>26</v>
      </c>
      <c r="C34" s="106">
        <f t="shared" si="0"/>
        <v>0.008471126904371283</v>
      </c>
      <c r="D34" s="65">
        <f t="shared" si="1"/>
        <v>0.004764835238109792</v>
      </c>
      <c r="E34" s="108">
        <f t="shared" si="2"/>
        <v>0.0877201999841635</v>
      </c>
      <c r="F34" s="67">
        <f t="shared" si="3"/>
        <v>0.06741338904810261</v>
      </c>
    </row>
    <row r="35" spans="2:6" ht="23.25" thickBot="1">
      <c r="B35" s="9" t="s">
        <v>162</v>
      </c>
      <c r="C35" s="107">
        <v>0</v>
      </c>
      <c r="D35" s="66">
        <v>0</v>
      </c>
      <c r="E35" s="107">
        <v>0</v>
      </c>
      <c r="F35" s="66">
        <v>0</v>
      </c>
    </row>
    <row r="36" ht="15.75" thickTop="1"/>
  </sheetData>
  <sheetProtection/>
  <mergeCells count="1">
    <mergeCell ref="C2:F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61.7109375" style="0" customWidth="1"/>
    <col min="3" max="6" width="12.57421875" style="0" customWidth="1"/>
  </cols>
  <sheetData>
    <row r="1" ht="15.75" thickBot="1"/>
    <row r="2" spans="3:6" ht="16.5" thickBot="1" thickTop="1">
      <c r="C2" s="157" t="s">
        <v>28</v>
      </c>
      <c r="D2" s="158"/>
      <c r="E2" s="158"/>
      <c r="F2" s="159"/>
    </row>
    <row r="3" spans="2:6" ht="36.75" customHeight="1" thickTop="1">
      <c r="B3" s="1"/>
      <c r="C3" s="11" t="s">
        <v>168</v>
      </c>
      <c r="D3" s="100" t="s">
        <v>169</v>
      </c>
      <c r="E3" s="12" t="s">
        <v>170</v>
      </c>
      <c r="F3" s="101" t="s">
        <v>171</v>
      </c>
    </row>
    <row r="4" spans="2:6" ht="15">
      <c r="B4" s="5" t="s">
        <v>22</v>
      </c>
      <c r="C4" s="68">
        <f>'RZiS LUG S.A.'!C26</f>
        <v>60.97999999999999</v>
      </c>
      <c r="D4" s="68">
        <f>'RZiS LUG S.A.'!D26</f>
        <v>34.3</v>
      </c>
      <c r="E4" s="73">
        <f>'RZiS LUG S.A.'!E26</f>
        <v>631.4599999999999</v>
      </c>
      <c r="F4" s="71">
        <f>'RZiS LUG S.A.'!F26</f>
        <v>485.28</v>
      </c>
    </row>
    <row r="5" spans="2:6" ht="15">
      <c r="B5" s="4" t="s">
        <v>76</v>
      </c>
      <c r="C5" s="72">
        <v>0</v>
      </c>
      <c r="D5" s="63">
        <v>0</v>
      </c>
      <c r="E5" s="72">
        <v>0</v>
      </c>
      <c r="F5" s="72">
        <f>D5</f>
        <v>0</v>
      </c>
    </row>
    <row r="6" spans="2:6" ht="22.5">
      <c r="B6" s="4" t="s">
        <v>77</v>
      </c>
      <c r="C6" s="72">
        <v>0</v>
      </c>
      <c r="D6" s="63">
        <v>0</v>
      </c>
      <c r="E6" s="72">
        <v>0</v>
      </c>
      <c r="F6" s="72">
        <v>0</v>
      </c>
    </row>
    <row r="7" spans="2:6" ht="22.5">
      <c r="B7" s="4" t="s">
        <v>78</v>
      </c>
      <c r="C7" s="72">
        <v>0</v>
      </c>
      <c r="D7" s="63">
        <v>0</v>
      </c>
      <c r="E7" s="72">
        <v>0</v>
      </c>
      <c r="F7" s="72">
        <v>0</v>
      </c>
    </row>
    <row r="8" spans="2:6" ht="15">
      <c r="B8" s="4" t="s">
        <v>79</v>
      </c>
      <c r="C8" s="72">
        <v>0</v>
      </c>
      <c r="D8" s="63">
        <v>0</v>
      </c>
      <c r="E8" s="72">
        <v>0</v>
      </c>
      <c r="F8" s="72">
        <v>0</v>
      </c>
    </row>
    <row r="9" spans="2:6" ht="15">
      <c r="B9" s="4" t="s">
        <v>80</v>
      </c>
      <c r="C9" s="72">
        <v>0</v>
      </c>
      <c r="D9" s="63">
        <v>0</v>
      </c>
      <c r="E9" s="72">
        <v>0</v>
      </c>
      <c r="F9" s="72">
        <v>0</v>
      </c>
    </row>
    <row r="10" spans="2:6" ht="15">
      <c r="B10" s="4" t="s">
        <v>81</v>
      </c>
      <c r="C10" s="72">
        <v>0</v>
      </c>
      <c r="D10" s="63">
        <v>0</v>
      </c>
      <c r="E10" s="72">
        <v>0</v>
      </c>
      <c r="F10" s="72">
        <v>0</v>
      </c>
    </row>
    <row r="11" spans="2:6" ht="15">
      <c r="B11" s="5" t="s">
        <v>82</v>
      </c>
      <c r="C11" s="68">
        <f>C4</f>
        <v>60.97999999999999</v>
      </c>
      <c r="D11" s="68">
        <f>D4</f>
        <v>34.3</v>
      </c>
      <c r="E11" s="73">
        <f>E4</f>
        <v>631.4599999999999</v>
      </c>
      <c r="F11" s="73">
        <f>F4</f>
        <v>485.28</v>
      </c>
    </row>
    <row r="12" spans="2:6" ht="15">
      <c r="B12" s="18" t="s">
        <v>83</v>
      </c>
      <c r="C12" s="69">
        <v>0</v>
      </c>
      <c r="D12" s="69">
        <v>0</v>
      </c>
      <c r="E12" s="72">
        <v>0</v>
      </c>
      <c r="F12" s="63">
        <v>0</v>
      </c>
    </row>
    <row r="13" spans="2:6" ht="15.75" thickBot="1">
      <c r="B13" s="19" t="s">
        <v>84</v>
      </c>
      <c r="C13" s="92">
        <f>C11</f>
        <v>60.97999999999999</v>
      </c>
      <c r="D13" s="70">
        <f>D11</f>
        <v>34.3</v>
      </c>
      <c r="E13" s="92">
        <f>E11</f>
        <v>631.4599999999999</v>
      </c>
      <c r="F13" s="70">
        <f>F11</f>
        <v>485.28</v>
      </c>
    </row>
    <row r="14" ht="15.75" thickTop="1"/>
  </sheetData>
  <sheetProtection/>
  <mergeCells count="1">
    <mergeCell ref="C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7"/>
  <sheetViews>
    <sheetView zoomScalePageLayoutView="0" workbookViewId="0" topLeftCell="A28">
      <selection activeCell="B10" sqref="B10"/>
    </sheetView>
  </sheetViews>
  <sheetFormatPr defaultColWidth="9.140625" defaultRowHeight="15"/>
  <cols>
    <col min="1" max="1" width="4.421875" style="0" customWidth="1"/>
    <col min="2" max="2" width="55.421875" style="0" customWidth="1"/>
    <col min="3" max="4" width="13.140625" style="74" customWidth="1"/>
  </cols>
  <sheetData>
    <row r="1" ht="15.75" thickBot="1"/>
    <row r="2" spans="3:4" ht="16.5" thickBot="1" thickTop="1">
      <c r="C2" s="160" t="s">
        <v>28</v>
      </c>
      <c r="D2" s="161"/>
    </row>
    <row r="3" spans="2:4" ht="25.5" customHeight="1" thickTop="1">
      <c r="B3" s="1" t="s">
        <v>49</v>
      </c>
      <c r="C3" s="109" t="s">
        <v>172</v>
      </c>
      <c r="D3" s="102" t="s">
        <v>173</v>
      </c>
    </row>
    <row r="4" spans="2:4" ht="15">
      <c r="B4" s="13" t="s">
        <v>29</v>
      </c>
      <c r="C4" s="110">
        <f>SUM(C5:C12)</f>
        <v>31633.529999999995</v>
      </c>
      <c r="D4" s="75">
        <f>SUM(D5:D12)</f>
        <v>30853.41</v>
      </c>
    </row>
    <row r="5" spans="2:4" ht="15">
      <c r="B5" s="4" t="s">
        <v>30</v>
      </c>
      <c r="C5" s="72">
        <v>0.99</v>
      </c>
      <c r="D5" s="63">
        <v>50.91</v>
      </c>
    </row>
    <row r="6" spans="2:4" ht="15">
      <c r="B6" s="4" t="s">
        <v>31</v>
      </c>
      <c r="C6" s="72">
        <v>4.47</v>
      </c>
      <c r="D6" s="63">
        <v>5.71</v>
      </c>
    </row>
    <row r="7" spans="2:4" ht="15">
      <c r="B7" s="4" t="s">
        <v>32</v>
      </c>
      <c r="C7" s="72">
        <v>0</v>
      </c>
      <c r="D7" s="63">
        <v>1069.56</v>
      </c>
    </row>
    <row r="8" spans="2:4" ht="15">
      <c r="B8" s="4" t="s">
        <v>33</v>
      </c>
      <c r="C8" s="72">
        <v>29667.37</v>
      </c>
      <c r="D8" s="63">
        <v>28842.16</v>
      </c>
    </row>
    <row r="9" spans="2:4" ht="15">
      <c r="B9" s="4" t="s">
        <v>34</v>
      </c>
      <c r="C9" s="72">
        <v>0</v>
      </c>
      <c r="D9" s="63">
        <v>0</v>
      </c>
    </row>
    <row r="10" spans="2:4" ht="15">
      <c r="B10" s="4" t="s">
        <v>35</v>
      </c>
      <c r="C10" s="72">
        <v>1393.1</v>
      </c>
      <c r="D10" s="63">
        <v>319.44</v>
      </c>
    </row>
    <row r="11" spans="2:4" ht="15">
      <c r="B11" s="4" t="s">
        <v>36</v>
      </c>
      <c r="C11" s="72">
        <v>32.85</v>
      </c>
      <c r="D11" s="63">
        <v>30.88</v>
      </c>
    </row>
    <row r="12" spans="2:4" ht="15">
      <c r="B12" s="4" t="s">
        <v>37</v>
      </c>
      <c r="C12" s="72">
        <v>534.75</v>
      </c>
      <c r="D12" s="63">
        <f>414.81+119.94</f>
        <v>534.75</v>
      </c>
    </row>
    <row r="13" spans="2:4" ht="15">
      <c r="B13" s="14" t="s">
        <v>38</v>
      </c>
      <c r="C13" s="110">
        <f>SUM(C14:C22)</f>
        <v>750.75</v>
      </c>
      <c r="D13" s="75">
        <f>SUM(D14:D22)</f>
        <v>830.23</v>
      </c>
    </row>
    <row r="14" spans="2:4" ht="15">
      <c r="B14" s="4" t="s">
        <v>39</v>
      </c>
      <c r="C14" s="72">
        <v>0</v>
      </c>
      <c r="D14" s="63">
        <v>0</v>
      </c>
    </row>
    <row r="15" spans="2:4" ht="15">
      <c r="B15" s="4" t="s">
        <v>40</v>
      </c>
      <c r="C15" s="72">
        <f>14.75+246.97-241.5</f>
        <v>20.220000000000027</v>
      </c>
      <c r="D15" s="63">
        <f>628.83-414.81</f>
        <v>214.02000000000004</v>
      </c>
    </row>
    <row r="16" spans="2:4" ht="15">
      <c r="B16" s="4" t="s">
        <v>41</v>
      </c>
      <c r="C16" s="72">
        <v>0</v>
      </c>
      <c r="D16" s="63">
        <v>0</v>
      </c>
    </row>
    <row r="17" spans="2:4" ht="15">
      <c r="B17" s="4" t="s">
        <v>42</v>
      </c>
      <c r="C17" s="72">
        <f>44.79+241.5</f>
        <v>286.29</v>
      </c>
      <c r="D17" s="63">
        <f>480.03-119.94</f>
        <v>360.09</v>
      </c>
    </row>
    <row r="18" spans="2:4" ht="15">
      <c r="B18" s="4" t="s">
        <v>43</v>
      </c>
      <c r="C18" s="72">
        <v>0</v>
      </c>
      <c r="D18" s="63">
        <v>0</v>
      </c>
    </row>
    <row r="19" spans="2:4" ht="22.5">
      <c r="B19" s="4" t="s">
        <v>44</v>
      </c>
      <c r="C19" s="72">
        <v>0</v>
      </c>
      <c r="D19" s="63">
        <v>0</v>
      </c>
    </row>
    <row r="20" spans="2:4" ht="15">
      <c r="B20" s="4" t="s">
        <v>35</v>
      </c>
      <c r="C20" s="72">
        <v>0</v>
      </c>
      <c r="D20" s="63">
        <v>0</v>
      </c>
    </row>
    <row r="21" spans="2:4" ht="15">
      <c r="B21" s="4" t="s">
        <v>45</v>
      </c>
      <c r="C21" s="72">
        <v>7.28</v>
      </c>
      <c r="D21" s="63">
        <v>242.72</v>
      </c>
    </row>
    <row r="22" spans="2:4" ht="15">
      <c r="B22" s="4" t="s">
        <v>46</v>
      </c>
      <c r="C22" s="72">
        <v>436.96</v>
      </c>
      <c r="D22" s="63">
        <v>13.4</v>
      </c>
    </row>
    <row r="23" spans="2:4" ht="15">
      <c r="B23" s="14" t="s">
        <v>47</v>
      </c>
      <c r="C23" s="110">
        <v>0</v>
      </c>
      <c r="D23" s="75">
        <v>0</v>
      </c>
    </row>
    <row r="24" spans="2:4" ht="15.75" thickBot="1">
      <c r="B24" s="15" t="s">
        <v>48</v>
      </c>
      <c r="C24" s="111">
        <f>C4+C13</f>
        <v>32384.279999999995</v>
      </c>
      <c r="D24" s="76">
        <f>D13+D4</f>
        <v>31683.64</v>
      </c>
    </row>
    <row r="25" ht="16.5" thickBot="1" thickTop="1"/>
    <row r="26" spans="3:4" ht="16.5" thickBot="1" thickTop="1">
      <c r="C26" s="160" t="s">
        <v>28</v>
      </c>
      <c r="D26" s="161"/>
    </row>
    <row r="27" spans="2:4" ht="23.25" thickTop="1">
      <c r="B27" s="1" t="s">
        <v>50</v>
      </c>
      <c r="C27" s="109" t="s">
        <v>172</v>
      </c>
      <c r="D27" s="102" t="s">
        <v>173</v>
      </c>
    </row>
    <row r="28" spans="2:4" ht="15">
      <c r="B28" s="14" t="s">
        <v>51</v>
      </c>
      <c r="C28" s="112">
        <f>SUM(C29:C37)</f>
        <v>32099.440000000002</v>
      </c>
      <c r="D28" s="77">
        <f>SUM(D29:D37)</f>
        <v>31413.56</v>
      </c>
    </row>
    <row r="29" spans="2:4" ht="15">
      <c r="B29" s="4" t="s">
        <v>52</v>
      </c>
      <c r="C29" s="113">
        <v>1799.64</v>
      </c>
      <c r="D29" s="78">
        <v>1799.64</v>
      </c>
    </row>
    <row r="30" spans="2:4" ht="15">
      <c r="B30" s="4" t="s">
        <v>53</v>
      </c>
      <c r="C30" s="113">
        <v>23815.49</v>
      </c>
      <c r="D30" s="78">
        <v>23815.49</v>
      </c>
    </row>
    <row r="31" spans="2:4" ht="15">
      <c r="B31" s="4" t="s">
        <v>54</v>
      </c>
      <c r="C31" s="113">
        <v>0</v>
      </c>
      <c r="D31" s="78">
        <v>0</v>
      </c>
    </row>
    <row r="32" spans="2:4" ht="15">
      <c r="B32" s="4" t="s">
        <v>55</v>
      </c>
      <c r="C32" s="113">
        <v>5437.72</v>
      </c>
      <c r="D32" s="78">
        <v>4898.02</v>
      </c>
    </row>
    <row r="33" spans="2:4" ht="15">
      <c r="B33" s="4" t="s">
        <v>56</v>
      </c>
      <c r="C33" s="113">
        <v>0</v>
      </c>
      <c r="D33" s="78">
        <v>0</v>
      </c>
    </row>
    <row r="34" spans="2:4" ht="15">
      <c r="B34" s="4" t="s">
        <v>57</v>
      </c>
      <c r="C34" s="113">
        <v>0</v>
      </c>
      <c r="D34" s="78">
        <v>0</v>
      </c>
    </row>
    <row r="35" spans="2:4" ht="15">
      <c r="B35" s="4" t="s">
        <v>58</v>
      </c>
      <c r="C35" s="113">
        <v>415.13</v>
      </c>
      <c r="D35" s="78">
        <v>415.13</v>
      </c>
    </row>
    <row r="36" spans="2:4" ht="15">
      <c r="B36" s="4" t="s">
        <v>59</v>
      </c>
      <c r="C36" s="113">
        <v>631.46</v>
      </c>
      <c r="D36" s="78">
        <v>485.28</v>
      </c>
    </row>
    <row r="37" spans="2:4" ht="15">
      <c r="B37" s="4" t="s">
        <v>60</v>
      </c>
      <c r="C37" s="113">
        <v>0</v>
      </c>
      <c r="D37" s="78">
        <v>0</v>
      </c>
    </row>
    <row r="38" spans="2:4" ht="15">
      <c r="B38" s="14" t="s">
        <v>61</v>
      </c>
      <c r="C38" s="112">
        <f>SUM(C39:C45)</f>
        <v>144.93</v>
      </c>
      <c r="D38" s="77">
        <f>SUM(D39:D45)</f>
        <v>133.87</v>
      </c>
    </row>
    <row r="39" spans="2:4" ht="15">
      <c r="B39" s="4" t="s">
        <v>62</v>
      </c>
      <c r="C39" s="113">
        <v>0</v>
      </c>
      <c r="D39" s="78">
        <v>0</v>
      </c>
    </row>
    <row r="40" spans="2:4" ht="15">
      <c r="B40" s="4" t="s">
        <v>63</v>
      </c>
      <c r="C40" s="113">
        <v>0</v>
      </c>
      <c r="D40" s="78">
        <v>0</v>
      </c>
    </row>
    <row r="41" spans="2:4" ht="15">
      <c r="B41" s="4" t="s">
        <v>64</v>
      </c>
      <c r="C41" s="113">
        <v>0</v>
      </c>
      <c r="D41" s="78">
        <v>0</v>
      </c>
    </row>
    <row r="42" spans="2:4" ht="15">
      <c r="B42" s="4" t="s">
        <v>65</v>
      </c>
      <c r="C42" s="113">
        <v>144.93</v>
      </c>
      <c r="D42" s="78">
        <v>133.87</v>
      </c>
    </row>
    <row r="43" spans="2:4" ht="15">
      <c r="B43" s="4" t="s">
        <v>66</v>
      </c>
      <c r="C43" s="113">
        <v>0</v>
      </c>
      <c r="D43" s="78">
        <v>0</v>
      </c>
    </row>
    <row r="44" spans="2:4" ht="15">
      <c r="B44" s="4" t="s">
        <v>67</v>
      </c>
      <c r="C44" s="113">
        <v>0</v>
      </c>
      <c r="D44" s="78">
        <v>0</v>
      </c>
    </row>
    <row r="45" spans="2:4" ht="15">
      <c r="B45" s="4" t="s">
        <v>68</v>
      </c>
      <c r="C45" s="113">
        <v>0</v>
      </c>
      <c r="D45" s="78">
        <v>0</v>
      </c>
    </row>
    <row r="46" spans="2:4" ht="15">
      <c r="B46" s="14" t="s">
        <v>69</v>
      </c>
      <c r="C46" s="112">
        <f>SUM(C47:C55)</f>
        <v>139.91</v>
      </c>
      <c r="D46" s="77">
        <f>SUM(D47:D55)</f>
        <v>136.21</v>
      </c>
    </row>
    <row r="47" spans="2:4" ht="15">
      <c r="B47" s="4" t="s">
        <v>62</v>
      </c>
      <c r="C47" s="113">
        <v>0</v>
      </c>
      <c r="D47" s="78">
        <v>0</v>
      </c>
    </row>
    <row r="48" spans="2:4" ht="15">
      <c r="B48" s="4" t="s">
        <v>63</v>
      </c>
      <c r="C48" s="113">
        <v>0</v>
      </c>
      <c r="D48" s="78">
        <v>0</v>
      </c>
    </row>
    <row r="49" spans="2:4" ht="15">
      <c r="B49" s="4" t="s">
        <v>70</v>
      </c>
      <c r="C49" s="113">
        <f>15.04+15.87</f>
        <v>30.909999999999997</v>
      </c>
      <c r="D49" s="78">
        <v>136.21</v>
      </c>
    </row>
    <row r="50" spans="2:4" ht="15">
      <c r="B50" s="16" t="s">
        <v>71</v>
      </c>
      <c r="C50" s="113">
        <v>0</v>
      </c>
      <c r="D50" s="78">
        <v>0</v>
      </c>
    </row>
    <row r="51" spans="2:4" ht="15">
      <c r="B51" s="4" t="s">
        <v>72</v>
      </c>
      <c r="C51" s="113">
        <f>56.51+24.79</f>
        <v>81.3</v>
      </c>
      <c r="D51" s="78">
        <v>0</v>
      </c>
    </row>
    <row r="52" spans="2:4" ht="15">
      <c r="B52" s="4" t="s">
        <v>66</v>
      </c>
      <c r="C52" s="113">
        <v>0</v>
      </c>
      <c r="D52" s="78">
        <v>0</v>
      </c>
    </row>
    <row r="53" spans="2:4" ht="15">
      <c r="B53" s="4" t="s">
        <v>67</v>
      </c>
      <c r="C53" s="113">
        <v>0</v>
      </c>
      <c r="D53" s="78">
        <v>0</v>
      </c>
    </row>
    <row r="54" spans="2:4" ht="15">
      <c r="B54" s="4" t="s">
        <v>68</v>
      </c>
      <c r="C54" s="113">
        <v>27.7</v>
      </c>
      <c r="D54" s="78">
        <v>0</v>
      </c>
    </row>
    <row r="55" spans="2:4" ht="23.25">
      <c r="B55" s="17" t="s">
        <v>73</v>
      </c>
      <c r="C55" s="113">
        <v>0</v>
      </c>
      <c r="D55" s="78">
        <v>0</v>
      </c>
    </row>
    <row r="56" spans="2:4" ht="15">
      <c r="B56" s="13" t="s">
        <v>74</v>
      </c>
      <c r="C56" s="112">
        <f>C28+C38+C46</f>
        <v>32384.280000000002</v>
      </c>
      <c r="D56" s="77">
        <f>D46+D38+D28</f>
        <v>31683.640000000003</v>
      </c>
    </row>
    <row r="57" spans="2:4" ht="15.75" thickBot="1">
      <c r="B57" s="31" t="s">
        <v>75</v>
      </c>
      <c r="C57" s="114">
        <f>C56*1000/7198570</f>
        <v>4.498710160490209</v>
      </c>
      <c r="D57" s="79">
        <f>D56*1000/7198570</f>
        <v>4.401379718471864</v>
      </c>
    </row>
    <row r="58" ht="15.75" thickTop="1"/>
  </sheetData>
  <sheetProtection/>
  <mergeCells count="2">
    <mergeCell ref="C2:D2"/>
    <mergeCell ref="C26:D26"/>
  </mergeCells>
  <printOptions/>
  <pageMargins left="0.7" right="0.7" top="0.75" bottom="0.75" header="0.3" footer="0.3"/>
  <pageSetup fitToHeight="1" fitToWidth="1"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7"/>
  <sheetViews>
    <sheetView zoomScalePageLayoutView="0" workbookViewId="0" topLeftCell="A1">
      <selection activeCell="L27" sqref="L27"/>
    </sheetView>
  </sheetViews>
  <sheetFormatPr defaultColWidth="9.140625" defaultRowHeight="15"/>
  <cols>
    <col min="2" max="2" width="32.421875" style="0" customWidth="1"/>
    <col min="3" max="3" width="11.00390625" style="0" customWidth="1"/>
    <col min="4" max="4" width="17.28125" style="0" customWidth="1"/>
    <col min="5" max="5" width="11.00390625" style="0" customWidth="1"/>
    <col min="6" max="7" width="12.00390625" style="0" customWidth="1"/>
    <col min="8" max="8" width="11.00390625" style="0" customWidth="1"/>
    <col min="9" max="9" width="15.28125" style="0" customWidth="1"/>
    <col min="10" max="10" width="12.00390625" style="0" customWidth="1"/>
  </cols>
  <sheetData>
    <row r="1" ht="15.75" thickBot="1"/>
    <row r="2" spans="3:10" ht="16.5" thickBot="1" thickTop="1">
      <c r="C2" s="160" t="s">
        <v>28</v>
      </c>
      <c r="D2" s="165"/>
      <c r="E2" s="165"/>
      <c r="F2" s="165"/>
      <c r="G2" s="165"/>
      <c r="H2" s="165"/>
      <c r="I2" s="165"/>
      <c r="J2" s="161"/>
    </row>
    <row r="3" spans="2:12" ht="45.75" thickTop="1">
      <c r="B3" s="20"/>
      <c r="C3" s="25" t="s">
        <v>52</v>
      </c>
      <c r="D3" s="25" t="s">
        <v>85</v>
      </c>
      <c r="E3" s="25" t="s">
        <v>55</v>
      </c>
      <c r="F3" s="25" t="s">
        <v>56</v>
      </c>
      <c r="G3" s="25" t="s">
        <v>58</v>
      </c>
      <c r="H3" s="25" t="s">
        <v>59</v>
      </c>
      <c r="I3" s="25" t="s">
        <v>86</v>
      </c>
      <c r="J3" s="26" t="s">
        <v>87</v>
      </c>
      <c r="L3" s="50"/>
    </row>
    <row r="4" spans="2:12" ht="15">
      <c r="B4" s="162" t="s">
        <v>174</v>
      </c>
      <c r="C4" s="163"/>
      <c r="D4" s="163"/>
      <c r="E4" s="163"/>
      <c r="F4" s="163"/>
      <c r="G4" s="163"/>
      <c r="H4" s="163"/>
      <c r="I4" s="163"/>
      <c r="J4" s="164"/>
      <c r="L4" s="50"/>
    </row>
    <row r="5" spans="2:12" ht="15">
      <c r="B5" s="23" t="s">
        <v>164</v>
      </c>
      <c r="C5" s="80">
        <f>C27</f>
        <v>1799.64</v>
      </c>
      <c r="D5" s="80">
        <f>D27</f>
        <v>23815.49</v>
      </c>
      <c r="E5" s="80">
        <v>4898.01</v>
      </c>
      <c r="F5" s="80">
        <v>539.71</v>
      </c>
      <c r="G5" s="80">
        <f>G27</f>
        <v>415.13</v>
      </c>
      <c r="H5" s="80">
        <v>0</v>
      </c>
      <c r="I5" s="80">
        <f>SUM(C5:H5)</f>
        <v>31467.98</v>
      </c>
      <c r="J5" s="80">
        <f>I5</f>
        <v>31467.98</v>
      </c>
      <c r="L5" s="50"/>
    </row>
    <row r="6" spans="2:12" ht="15">
      <c r="B6" s="21" t="s">
        <v>88</v>
      </c>
      <c r="C6" s="82">
        <v>0</v>
      </c>
      <c r="D6" s="82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3">
        <v>0</v>
      </c>
      <c r="L6" s="50"/>
    </row>
    <row r="7" spans="2:13" ht="15">
      <c r="B7" s="21" t="s">
        <v>89</v>
      </c>
      <c r="C7" s="82">
        <v>0</v>
      </c>
      <c r="D7" s="82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3">
        <v>0</v>
      </c>
      <c r="L7" s="50"/>
      <c r="M7" s="50"/>
    </row>
    <row r="8" spans="2:12" ht="15">
      <c r="B8" s="23" t="s">
        <v>90</v>
      </c>
      <c r="C8" s="80">
        <f>C5+C6+C7</f>
        <v>1799.64</v>
      </c>
      <c r="D8" s="80">
        <f aca="true" t="shared" si="0" ref="D8:J8">D5+D6+D7</f>
        <v>23815.49</v>
      </c>
      <c r="E8" s="80">
        <f t="shared" si="0"/>
        <v>4898.01</v>
      </c>
      <c r="F8" s="80">
        <f t="shared" si="0"/>
        <v>539.71</v>
      </c>
      <c r="G8" s="80">
        <f t="shared" si="0"/>
        <v>415.13</v>
      </c>
      <c r="H8" s="80">
        <f t="shared" si="0"/>
        <v>0</v>
      </c>
      <c r="I8" s="80">
        <f>I5+I6+I7</f>
        <v>31467.98</v>
      </c>
      <c r="J8" s="80">
        <f t="shared" si="0"/>
        <v>31467.98</v>
      </c>
      <c r="L8" s="50"/>
    </row>
    <row r="9" spans="2:12" ht="15">
      <c r="B9" s="21" t="s">
        <v>91</v>
      </c>
      <c r="C9" s="82">
        <v>0</v>
      </c>
      <c r="D9" s="82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3">
        <v>0</v>
      </c>
      <c r="L9" s="50"/>
    </row>
    <row r="10" spans="2:12" ht="15">
      <c r="B10" s="21" t="s">
        <v>92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3">
        <v>0</v>
      </c>
      <c r="L10" s="50"/>
    </row>
    <row r="11" spans="2:12" ht="15">
      <c r="B11" s="21" t="s">
        <v>93</v>
      </c>
      <c r="C11" s="82">
        <v>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3">
        <v>0</v>
      </c>
      <c r="L11" s="50"/>
    </row>
    <row r="12" spans="2:12" ht="15">
      <c r="B12" s="22" t="s">
        <v>94</v>
      </c>
      <c r="C12" s="82">
        <v>0</v>
      </c>
      <c r="D12" s="82">
        <v>0</v>
      </c>
      <c r="E12" s="82">
        <v>539.71</v>
      </c>
      <c r="F12" s="82">
        <v>-539.71</v>
      </c>
      <c r="G12" s="82">
        <v>0</v>
      </c>
      <c r="H12" s="82">
        <f>'RZiS LUG S.A.'!E26</f>
        <v>631.4599999999999</v>
      </c>
      <c r="I12" s="82">
        <f>SUM(C12:H12)</f>
        <v>631.4599999999999</v>
      </c>
      <c r="J12" s="83">
        <f>I12</f>
        <v>631.4599999999999</v>
      </c>
      <c r="L12" s="50"/>
    </row>
    <row r="13" spans="2:10" ht="15">
      <c r="B13" s="21" t="s">
        <v>95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3">
        <v>0</v>
      </c>
    </row>
    <row r="14" spans="2:10" ht="15">
      <c r="B14" s="21" t="s">
        <v>96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3">
        <v>0</v>
      </c>
    </row>
    <row r="15" spans="2:10" ht="15">
      <c r="B15" s="23" t="s">
        <v>176</v>
      </c>
      <c r="C15" s="80">
        <f>SUM(C8:C14)</f>
        <v>1799.64</v>
      </c>
      <c r="D15" s="80">
        <f aca="true" t="shared" si="1" ref="D15:J15">SUM(D8:D14)</f>
        <v>23815.49</v>
      </c>
      <c r="E15" s="80">
        <f t="shared" si="1"/>
        <v>5437.72</v>
      </c>
      <c r="F15" s="80">
        <f t="shared" si="1"/>
        <v>0</v>
      </c>
      <c r="G15" s="80">
        <f t="shared" si="1"/>
        <v>415.13</v>
      </c>
      <c r="H15" s="80">
        <f t="shared" si="1"/>
        <v>631.4599999999999</v>
      </c>
      <c r="I15" s="80">
        <f>SUM(I8:I14)</f>
        <v>32099.44</v>
      </c>
      <c r="J15" s="80">
        <f t="shared" si="1"/>
        <v>32099.44</v>
      </c>
    </row>
    <row r="16" spans="2:10" ht="15" customHeight="1">
      <c r="B16" s="162" t="s">
        <v>175</v>
      </c>
      <c r="C16" s="163"/>
      <c r="D16" s="163"/>
      <c r="E16" s="163"/>
      <c r="F16" s="163"/>
      <c r="G16" s="163"/>
      <c r="H16" s="163"/>
      <c r="I16" s="163"/>
      <c r="J16" s="164"/>
    </row>
    <row r="17" spans="2:10" ht="15">
      <c r="B17" s="23" t="s">
        <v>163</v>
      </c>
      <c r="C17" s="80">
        <v>1799.64</v>
      </c>
      <c r="D17" s="80">
        <v>23815.49</v>
      </c>
      <c r="E17" s="80">
        <v>3002.98</v>
      </c>
      <c r="F17" s="80">
        <v>1895.05</v>
      </c>
      <c r="G17" s="80">
        <v>415.13</v>
      </c>
      <c r="H17" s="80">
        <v>0</v>
      </c>
      <c r="I17" s="80">
        <f>SUM(C17:H17)</f>
        <v>30928.29</v>
      </c>
      <c r="J17" s="81">
        <f>I17</f>
        <v>30928.29</v>
      </c>
    </row>
    <row r="18" spans="2:10" ht="15">
      <c r="B18" s="21" t="s">
        <v>88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3">
        <f>I18</f>
        <v>0</v>
      </c>
    </row>
    <row r="19" spans="2:10" ht="15">
      <c r="B19" s="21" t="s">
        <v>89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3">
        <f>I19</f>
        <v>0</v>
      </c>
    </row>
    <row r="20" spans="2:10" ht="15">
      <c r="B20" s="23" t="s">
        <v>90</v>
      </c>
      <c r="C20" s="80">
        <f>C17+C19+C18</f>
        <v>1799.64</v>
      </c>
      <c r="D20" s="80">
        <f aca="true" t="shared" si="2" ref="D20:I20">D17+D19+D18</f>
        <v>23815.49</v>
      </c>
      <c r="E20" s="80">
        <f t="shared" si="2"/>
        <v>3002.98</v>
      </c>
      <c r="F20" s="80">
        <f t="shared" si="2"/>
        <v>1895.05</v>
      </c>
      <c r="G20" s="80">
        <f t="shared" si="2"/>
        <v>415.13</v>
      </c>
      <c r="H20" s="80">
        <f t="shared" si="2"/>
        <v>0</v>
      </c>
      <c r="I20" s="80">
        <f t="shared" si="2"/>
        <v>30928.29</v>
      </c>
      <c r="J20" s="80">
        <f>J17+J19+J18</f>
        <v>30928.29</v>
      </c>
    </row>
    <row r="21" spans="2:10" ht="15">
      <c r="B21" s="21" t="s">
        <v>91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f aca="true" t="shared" si="3" ref="I21:I26">SUM(C21:H21)</f>
        <v>0</v>
      </c>
      <c r="J21" s="83">
        <f>I21</f>
        <v>0</v>
      </c>
    </row>
    <row r="22" spans="2:10" ht="15">
      <c r="B22" s="21" t="s">
        <v>92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f t="shared" si="3"/>
        <v>0</v>
      </c>
      <c r="J22" s="83">
        <f>I22</f>
        <v>0</v>
      </c>
    </row>
    <row r="23" spans="2:10" ht="15">
      <c r="B23" s="21" t="s">
        <v>93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f t="shared" si="3"/>
        <v>0</v>
      </c>
      <c r="J23" s="83">
        <f>I23</f>
        <v>0</v>
      </c>
    </row>
    <row r="24" spans="2:10" ht="15">
      <c r="B24" s="22" t="s">
        <v>94</v>
      </c>
      <c r="C24" s="82">
        <v>0</v>
      </c>
      <c r="D24" s="82">
        <v>0</v>
      </c>
      <c r="E24" s="82">
        <v>1895.05</v>
      </c>
      <c r="F24" s="82">
        <v>-1895.05</v>
      </c>
      <c r="G24" s="82">
        <v>0</v>
      </c>
      <c r="H24" s="82">
        <f>'RZiS LUG S.A.'!F26</f>
        <v>485.28</v>
      </c>
      <c r="I24" s="82">
        <f t="shared" si="3"/>
        <v>485.28</v>
      </c>
      <c r="J24" s="83">
        <f>I24</f>
        <v>485.28</v>
      </c>
    </row>
    <row r="25" spans="2:10" ht="15">
      <c r="B25" s="21" t="s">
        <v>95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f t="shared" si="3"/>
        <v>0</v>
      </c>
      <c r="J25" s="83">
        <f>I25</f>
        <v>0</v>
      </c>
    </row>
    <row r="26" spans="2:10" ht="15">
      <c r="B26" s="21" t="s">
        <v>96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f t="shared" si="3"/>
        <v>0</v>
      </c>
      <c r="J26" s="83">
        <f>SUM(C26:I26)</f>
        <v>0</v>
      </c>
    </row>
    <row r="27" spans="2:11" ht="15.75" thickBot="1">
      <c r="B27" s="24" t="s">
        <v>177</v>
      </c>
      <c r="C27" s="84">
        <f aca="true" t="shared" si="4" ref="C27:H27">SUM(C20:C26)</f>
        <v>1799.64</v>
      </c>
      <c r="D27" s="84">
        <f t="shared" si="4"/>
        <v>23815.49</v>
      </c>
      <c r="E27" s="84">
        <f t="shared" si="4"/>
        <v>4898.03</v>
      </c>
      <c r="F27" s="84">
        <f t="shared" si="4"/>
        <v>0</v>
      </c>
      <c r="G27" s="84">
        <f t="shared" si="4"/>
        <v>415.13</v>
      </c>
      <c r="H27" s="84">
        <f t="shared" si="4"/>
        <v>485.28</v>
      </c>
      <c r="I27" s="84">
        <f>SUM(I20:I26)-0.01</f>
        <v>31413.56</v>
      </c>
      <c r="J27" s="85">
        <f>I27</f>
        <v>31413.56</v>
      </c>
      <c r="K27" s="50"/>
    </row>
    <row r="28" ht="15.75" thickTop="1"/>
  </sheetData>
  <sheetProtection/>
  <mergeCells count="3">
    <mergeCell ref="B4:J4"/>
    <mergeCell ref="B16:J16"/>
    <mergeCell ref="C2:J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4.28125" style="0" customWidth="1"/>
    <col min="2" max="2" width="44.421875" style="0" customWidth="1"/>
    <col min="3" max="3" width="15.00390625" style="120" customWidth="1"/>
    <col min="4" max="4" width="12.28125" style="121" customWidth="1"/>
    <col min="5" max="5" width="12.28125" style="119" customWidth="1"/>
    <col min="6" max="6" width="12.8515625" style="117" customWidth="1"/>
    <col min="7" max="7" width="5.28125" style="0" customWidth="1"/>
    <col min="9" max="9" width="9.8515625" style="0" bestFit="1" customWidth="1"/>
  </cols>
  <sheetData>
    <row r="2" spans="2:6" ht="15.75" thickBot="1">
      <c r="B2" s="53"/>
      <c r="C2" s="166" t="s">
        <v>28</v>
      </c>
      <c r="D2" s="166"/>
      <c r="E2" s="166"/>
      <c r="F2" s="167"/>
    </row>
    <row r="3" spans="2:6" ht="34.5" thickTop="1">
      <c r="B3" s="54"/>
      <c r="C3" s="128" t="s">
        <v>168</v>
      </c>
      <c r="D3" s="128" t="s">
        <v>169</v>
      </c>
      <c r="E3" s="12" t="s">
        <v>170</v>
      </c>
      <c r="F3" s="101" t="s">
        <v>171</v>
      </c>
    </row>
    <row r="4" spans="2:6" ht="15">
      <c r="B4" s="55" t="s">
        <v>157</v>
      </c>
      <c r="C4" s="127"/>
      <c r="D4" s="115"/>
      <c r="E4" s="116"/>
      <c r="F4" s="115"/>
    </row>
    <row r="5" spans="2:6" ht="15">
      <c r="B5" s="56" t="s">
        <v>160</v>
      </c>
      <c r="C5" s="129">
        <f>'RZiS LUG S.A.'!C21</f>
        <v>60.97999999999999</v>
      </c>
      <c r="D5" s="129">
        <f>'RZiS LUG S.A.'!D21</f>
        <v>34.39000000000001</v>
      </c>
      <c r="E5" s="129">
        <f>'RZiS LUG S.A.'!E21</f>
        <v>631.4599999999999</v>
      </c>
      <c r="F5" s="129">
        <f>'RZiS LUG S.A.'!F21</f>
        <v>485.28</v>
      </c>
    </row>
    <row r="6" spans="2:7" ht="15">
      <c r="B6" s="56" t="s">
        <v>129</v>
      </c>
      <c r="C6" s="129">
        <f>SUM(C7:C16)</f>
        <v>-165.79</v>
      </c>
      <c r="D6" s="129">
        <f>SUM(D7:D16)</f>
        <v>-205.24000000000007</v>
      </c>
      <c r="E6" s="129">
        <f>SUM(E7:E16)</f>
        <v>-459.4200000000001</v>
      </c>
      <c r="F6" s="129">
        <f>SUM(F7:F16)</f>
        <v>-529.27</v>
      </c>
      <c r="G6" s="51"/>
    </row>
    <row r="7" spans="2:7" ht="22.5">
      <c r="B7" s="57" t="s">
        <v>130</v>
      </c>
      <c r="C7" s="130">
        <f>E7-18.61</f>
        <v>0.4499999999999993</v>
      </c>
      <c r="D7" s="130">
        <v>9.26</v>
      </c>
      <c r="E7" s="130">
        <v>19.06</v>
      </c>
      <c r="F7" s="131">
        <v>27.6</v>
      </c>
      <c r="G7" s="52"/>
    </row>
    <row r="8" spans="2:6" ht="15">
      <c r="B8" s="57" t="s">
        <v>131</v>
      </c>
      <c r="C8" s="130">
        <v>0</v>
      </c>
      <c r="D8" s="130">
        <v>0</v>
      </c>
      <c r="E8" s="130">
        <v>0</v>
      </c>
      <c r="F8" s="130">
        <v>0</v>
      </c>
    </row>
    <row r="9" spans="2:6" ht="15">
      <c r="B9" s="57" t="s">
        <v>132</v>
      </c>
      <c r="C9" s="130">
        <v>-700</v>
      </c>
      <c r="D9" s="130">
        <v>-531.94</v>
      </c>
      <c r="E9" s="130">
        <v>-700</v>
      </c>
      <c r="F9" s="130">
        <v>-700</v>
      </c>
    </row>
    <row r="10" spans="2:6" ht="27" customHeight="1">
      <c r="B10" s="57" t="s">
        <v>133</v>
      </c>
      <c r="C10" s="130">
        <v>0</v>
      </c>
      <c r="D10" s="130">
        <v>0</v>
      </c>
      <c r="E10" s="130">
        <v>0</v>
      </c>
      <c r="F10" s="130">
        <v>0</v>
      </c>
    </row>
    <row r="11" spans="2:6" ht="15">
      <c r="B11" s="57" t="s">
        <v>134</v>
      </c>
      <c r="C11" s="130">
        <f>E11-0.1</f>
        <v>10</v>
      </c>
      <c r="D11" s="130">
        <v>0</v>
      </c>
      <c r="E11" s="130">
        <v>10.1</v>
      </c>
      <c r="F11" s="130">
        <v>-15</v>
      </c>
    </row>
    <row r="12" spans="2:6" ht="15">
      <c r="B12" s="57" t="s">
        <v>135</v>
      </c>
      <c r="C12" s="130">
        <f>E12</f>
        <v>0</v>
      </c>
      <c r="D12" s="130">
        <v>0</v>
      </c>
      <c r="E12" s="130">
        <v>0</v>
      </c>
      <c r="F12" s="130">
        <v>0</v>
      </c>
    </row>
    <row r="13" spans="2:6" ht="15">
      <c r="B13" s="57" t="s">
        <v>136</v>
      </c>
      <c r="C13" s="130">
        <f>E13+134.96</f>
        <v>433.79999999999995</v>
      </c>
      <c r="D13" s="132">
        <v>402.57</v>
      </c>
      <c r="E13" s="130">
        <f>539.88-241.5+0.46</f>
        <v>298.84</v>
      </c>
      <c r="F13" s="130">
        <v>116.75</v>
      </c>
    </row>
    <row r="14" spans="2:6" ht="22.5">
      <c r="B14" s="57" t="s">
        <v>137</v>
      </c>
      <c r="C14" s="130">
        <f>E14-21.69</f>
        <v>-105.50999999999999</v>
      </c>
      <c r="D14" s="132">
        <v>-107.87</v>
      </c>
      <c r="E14" s="130">
        <f>-10.11-73.71</f>
        <v>-83.82</v>
      </c>
      <c r="F14" s="130">
        <v>28.95</v>
      </c>
    </row>
    <row r="15" spans="2:6" ht="15">
      <c r="B15" s="57" t="s">
        <v>138</v>
      </c>
      <c r="C15" s="130">
        <f>E15+199.07</f>
        <v>195.47</v>
      </c>
      <c r="D15" s="130">
        <v>22.74</v>
      </c>
      <c r="E15" s="130">
        <v>-3.6</v>
      </c>
      <c r="F15" s="130">
        <v>12.43</v>
      </c>
    </row>
    <row r="16" spans="2:6" ht="15">
      <c r="B16" s="57" t="s">
        <v>139</v>
      </c>
      <c r="C16" s="130">
        <v>0</v>
      </c>
      <c r="D16" s="130">
        <v>0</v>
      </c>
      <c r="E16" s="130"/>
      <c r="F16" s="130">
        <v>0</v>
      </c>
    </row>
    <row r="17" spans="2:6" ht="38.25" customHeight="1">
      <c r="B17" s="58" t="s">
        <v>140</v>
      </c>
      <c r="C17" s="124">
        <f>C5+C6</f>
        <v>-104.81</v>
      </c>
      <c r="D17" s="116">
        <f>D5+D6</f>
        <v>-170.85000000000005</v>
      </c>
      <c r="E17" s="116">
        <f>E5+E6</f>
        <v>172.03999999999985</v>
      </c>
      <c r="F17" s="116">
        <f>F5+F6</f>
        <v>-43.99000000000001</v>
      </c>
    </row>
    <row r="18" spans="2:6" ht="15">
      <c r="B18" s="55" t="s">
        <v>158</v>
      </c>
      <c r="C18" s="125"/>
      <c r="D18" s="126"/>
      <c r="E18" s="116"/>
      <c r="F18" s="116"/>
    </row>
    <row r="19" spans="2:6" ht="15">
      <c r="B19" s="56" t="s">
        <v>141</v>
      </c>
      <c r="C19" s="129">
        <f>C20+C21+C22+C23</f>
        <v>1050</v>
      </c>
      <c r="D19" s="133">
        <f>D20+D21+D22+D23</f>
        <v>317.73</v>
      </c>
      <c r="E19" s="129">
        <f>E20+E21+E22+E23</f>
        <v>1050</v>
      </c>
      <c r="F19" s="129">
        <f>F20+F21+F22+F23</f>
        <v>434.2</v>
      </c>
    </row>
    <row r="20" spans="2:6" ht="22.5">
      <c r="B20" s="57" t="s">
        <v>142</v>
      </c>
      <c r="C20" s="130">
        <f>E20</f>
        <v>1050</v>
      </c>
      <c r="D20" s="130">
        <v>0</v>
      </c>
      <c r="E20" s="130">
        <v>1050</v>
      </c>
      <c r="F20" s="130">
        <v>0</v>
      </c>
    </row>
    <row r="21" spans="2:6" ht="22.5">
      <c r="B21" s="57" t="s">
        <v>143</v>
      </c>
      <c r="C21" s="130">
        <v>0</v>
      </c>
      <c r="D21" s="130">
        <v>0</v>
      </c>
      <c r="E21" s="130">
        <v>0</v>
      </c>
      <c r="F21" s="130">
        <v>0</v>
      </c>
    </row>
    <row r="22" spans="2:6" ht="15">
      <c r="B22" s="57" t="s">
        <v>161</v>
      </c>
      <c r="C22" s="130">
        <v>0</v>
      </c>
      <c r="D22" s="132">
        <v>317.73</v>
      </c>
      <c r="E22" s="130">
        <v>0</v>
      </c>
      <c r="F22" s="130">
        <v>434.2</v>
      </c>
    </row>
    <row r="23" spans="2:6" ht="15">
      <c r="B23" s="57" t="s">
        <v>144</v>
      </c>
      <c r="C23" s="130">
        <v>0</v>
      </c>
      <c r="D23" s="130">
        <v>0</v>
      </c>
      <c r="E23" s="130">
        <v>0</v>
      </c>
      <c r="F23" s="130">
        <v>0</v>
      </c>
    </row>
    <row r="24" spans="2:6" ht="15">
      <c r="B24" s="56" t="s">
        <v>145</v>
      </c>
      <c r="C24" s="129">
        <f>C25+C26+C27+C28</f>
        <v>527.6</v>
      </c>
      <c r="D24" s="133">
        <f>D25+D26+D27+D28</f>
        <v>169.39000000000001</v>
      </c>
      <c r="E24" s="129">
        <f>E25+E26+E27+E28</f>
        <v>800</v>
      </c>
      <c r="F24" s="129">
        <f>F25+F26+F27+F28</f>
        <v>725.94</v>
      </c>
    </row>
    <row r="25" spans="2:6" ht="22.5">
      <c r="B25" s="57" t="s">
        <v>146</v>
      </c>
      <c r="C25" s="130">
        <v>0</v>
      </c>
      <c r="D25" s="132">
        <v>1.62</v>
      </c>
      <c r="E25" s="130">
        <v>0</v>
      </c>
      <c r="F25" s="130">
        <v>1.62</v>
      </c>
    </row>
    <row r="26" spans="2:6" ht="22.5">
      <c r="B26" s="57" t="s">
        <v>147</v>
      </c>
      <c r="C26" s="130">
        <v>0</v>
      </c>
      <c r="D26" s="130">
        <v>0</v>
      </c>
      <c r="E26" s="130">
        <v>0</v>
      </c>
      <c r="F26" s="130">
        <v>0</v>
      </c>
    </row>
    <row r="27" spans="2:6" ht="15">
      <c r="B27" s="57" t="s">
        <v>167</v>
      </c>
      <c r="C27" s="130">
        <f>E27-272.4</f>
        <v>527.6</v>
      </c>
      <c r="D27" s="132">
        <v>167.77</v>
      </c>
      <c r="E27" s="130">
        <v>800</v>
      </c>
      <c r="F27" s="130">
        <v>724.32</v>
      </c>
    </row>
    <row r="28" spans="2:6" ht="15">
      <c r="B28" s="57" t="s">
        <v>148</v>
      </c>
      <c r="C28" s="130">
        <v>0</v>
      </c>
      <c r="D28" s="130">
        <v>0</v>
      </c>
      <c r="E28" s="130">
        <v>0</v>
      </c>
      <c r="F28" s="130">
        <v>0</v>
      </c>
    </row>
    <row r="29" spans="2:6" ht="22.5">
      <c r="B29" s="58" t="s">
        <v>149</v>
      </c>
      <c r="C29" s="135">
        <f>C19-C24</f>
        <v>522.4</v>
      </c>
      <c r="D29" s="136">
        <f>D19-D24</f>
        <v>148.34</v>
      </c>
      <c r="E29" s="135">
        <f>E19-E24</f>
        <v>250</v>
      </c>
      <c r="F29" s="136">
        <f>F19-F24</f>
        <v>-291.74000000000007</v>
      </c>
    </row>
    <row r="30" spans="2:6" ht="15">
      <c r="B30" s="55" t="s">
        <v>159</v>
      </c>
      <c r="C30" s="137"/>
      <c r="D30" s="138"/>
      <c r="E30" s="135"/>
      <c r="F30" s="136"/>
    </row>
    <row r="31" spans="2:6" ht="15">
      <c r="B31" s="56" t="s">
        <v>141</v>
      </c>
      <c r="C31" s="129">
        <f>E31</f>
        <v>2.54</v>
      </c>
      <c r="D31" s="129">
        <v>0</v>
      </c>
      <c r="E31" s="129">
        <v>2.54</v>
      </c>
      <c r="F31" s="134">
        <v>0</v>
      </c>
    </row>
    <row r="32" spans="2:6" ht="15">
      <c r="B32" s="56" t="s">
        <v>145</v>
      </c>
      <c r="C32" s="129">
        <f>E32</f>
        <v>0.26</v>
      </c>
      <c r="D32" s="129">
        <v>0</v>
      </c>
      <c r="E32" s="129">
        <v>0.26</v>
      </c>
      <c r="F32" s="134">
        <v>0</v>
      </c>
    </row>
    <row r="33" spans="2:6" ht="22.5">
      <c r="B33" s="58" t="s">
        <v>150</v>
      </c>
      <c r="C33" s="135">
        <f>C31-C32</f>
        <v>2.2800000000000002</v>
      </c>
      <c r="D33" s="135">
        <f>D31-D32</f>
        <v>0</v>
      </c>
      <c r="E33" s="135">
        <f>E31-E32</f>
        <v>2.2800000000000002</v>
      </c>
      <c r="F33" s="136">
        <f>F31-F32</f>
        <v>0</v>
      </c>
    </row>
    <row r="34" spans="2:6" ht="22.5">
      <c r="B34" s="55" t="s">
        <v>151</v>
      </c>
      <c r="C34" s="142">
        <f>C33+C29+C17</f>
        <v>419.86999999999995</v>
      </c>
      <c r="D34" s="142">
        <f>D33+D29+D17</f>
        <v>-22.510000000000048</v>
      </c>
      <c r="E34" s="142">
        <f>E33+E29+E17</f>
        <v>424.3199999999998</v>
      </c>
      <c r="F34" s="142">
        <f>F33+F29+F17</f>
        <v>-335.7300000000001</v>
      </c>
    </row>
    <row r="35" spans="2:6" ht="22.5">
      <c r="B35" s="55" t="s">
        <v>152</v>
      </c>
      <c r="C35" s="141">
        <f>C38-C37</f>
        <v>419.87</v>
      </c>
      <c r="D35" s="141">
        <f>D38-D37</f>
        <v>-22.509999999999998</v>
      </c>
      <c r="E35" s="141">
        <f>E38-E37</f>
        <v>424.32</v>
      </c>
      <c r="F35" s="141">
        <f>F38-F37</f>
        <v>-335.73</v>
      </c>
    </row>
    <row r="36" spans="2:6" ht="22.5">
      <c r="B36" s="59" t="s">
        <v>153</v>
      </c>
      <c r="C36" s="130">
        <v>0</v>
      </c>
      <c r="D36" s="130">
        <v>0</v>
      </c>
      <c r="E36" s="130">
        <v>0</v>
      </c>
      <c r="F36" s="130">
        <v>0</v>
      </c>
    </row>
    <row r="37" spans="2:9" ht="15">
      <c r="B37" s="55" t="s">
        <v>154</v>
      </c>
      <c r="C37" s="135">
        <v>17.09</v>
      </c>
      <c r="D37" s="136">
        <v>35.91</v>
      </c>
      <c r="E37" s="135">
        <v>12.64</v>
      </c>
      <c r="F37" s="136">
        <v>349.13</v>
      </c>
      <c r="I37" s="123">
        <f>E34-E35</f>
        <v>0</v>
      </c>
    </row>
    <row r="38" spans="2:6" ht="15">
      <c r="B38" s="55" t="s">
        <v>155</v>
      </c>
      <c r="C38" s="135">
        <f>E38</f>
        <v>436.96</v>
      </c>
      <c r="D38" s="136">
        <v>13.4</v>
      </c>
      <c r="E38" s="135">
        <v>436.96</v>
      </c>
      <c r="F38" s="136">
        <v>13.4</v>
      </c>
    </row>
    <row r="39" spans="2:6" ht="27" customHeight="1" thickBot="1">
      <c r="B39" s="60" t="s">
        <v>156</v>
      </c>
      <c r="C39" s="139">
        <v>0</v>
      </c>
      <c r="D39" s="140">
        <v>0</v>
      </c>
      <c r="E39" s="140">
        <v>0</v>
      </c>
      <c r="F39" s="140">
        <v>0</v>
      </c>
    </row>
    <row r="40" ht="15.75" thickTop="1">
      <c r="E40" s="118"/>
    </row>
    <row r="41" ht="15">
      <c r="D41" s="122"/>
    </row>
  </sheetData>
  <sheetProtection/>
  <mergeCells count="1">
    <mergeCell ref="C2:F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L28"/>
  <sheetViews>
    <sheetView zoomScalePageLayoutView="0" workbookViewId="0" topLeftCell="A1">
      <selection activeCell="M25" sqref="M25"/>
    </sheetView>
  </sheetViews>
  <sheetFormatPr defaultColWidth="9.140625" defaultRowHeight="15"/>
  <cols>
    <col min="2" max="2" width="39.28125" style="0" customWidth="1"/>
    <col min="3" max="4" width="10.140625" style="74" customWidth="1"/>
    <col min="5" max="6" width="10.140625" style="0" customWidth="1"/>
    <col min="7" max="12" width="10.140625" style="74" customWidth="1"/>
  </cols>
  <sheetData>
    <row r="3" spans="2:12" ht="15">
      <c r="B3" s="168"/>
      <c r="C3" s="29" t="s">
        <v>117</v>
      </c>
      <c r="D3" s="29" t="s">
        <v>117</v>
      </c>
      <c r="E3" s="29" t="s">
        <v>117</v>
      </c>
      <c r="F3" s="29" t="s">
        <v>117</v>
      </c>
      <c r="G3" s="170" t="s">
        <v>97</v>
      </c>
      <c r="H3" s="29" t="s">
        <v>178</v>
      </c>
      <c r="I3" s="29" t="s">
        <v>178</v>
      </c>
      <c r="J3" s="29" t="s">
        <v>178</v>
      </c>
      <c r="K3" s="29" t="s">
        <v>178</v>
      </c>
      <c r="L3" s="171" t="s">
        <v>97</v>
      </c>
    </row>
    <row r="4" spans="2:12" ht="15">
      <c r="B4" s="169"/>
      <c r="C4" s="30" t="s">
        <v>165</v>
      </c>
      <c r="D4" s="30" t="s">
        <v>98</v>
      </c>
      <c r="E4" s="30" t="s">
        <v>166</v>
      </c>
      <c r="F4" s="30" t="s">
        <v>99</v>
      </c>
      <c r="G4" s="170"/>
      <c r="H4" s="30" t="s">
        <v>165</v>
      </c>
      <c r="I4" s="30" t="s">
        <v>98</v>
      </c>
      <c r="J4" s="30" t="s">
        <v>166</v>
      </c>
      <c r="K4" s="30" t="s">
        <v>99</v>
      </c>
      <c r="L4" s="171"/>
    </row>
    <row r="5" spans="2:12" ht="15">
      <c r="B5" s="27" t="s">
        <v>0</v>
      </c>
      <c r="C5" s="86">
        <f>'RZiS LUG S.A.'!C4</f>
        <v>315</v>
      </c>
      <c r="D5" s="86">
        <f>'RZiS LUG S.A.'!D4</f>
        <v>255</v>
      </c>
      <c r="E5" s="88">
        <f>C5/4.1841</f>
        <v>75.28500752850076</v>
      </c>
      <c r="F5" s="86">
        <f>D5/4.2415</f>
        <v>60.12024048096192</v>
      </c>
      <c r="G5" s="93">
        <f>(C5/D5)*100</f>
        <v>123.52941176470588</v>
      </c>
      <c r="H5" s="88">
        <f>'RZiS LUG S.A.'!E4</f>
        <v>645</v>
      </c>
      <c r="I5" s="86">
        <f>'RZiS LUG S.A.'!F4</f>
        <v>470.21</v>
      </c>
      <c r="J5" s="86">
        <f>H5/4.1803</f>
        <v>154.29514628136738</v>
      </c>
      <c r="K5" s="86">
        <f>I5/4.2231</f>
        <v>111.34237882124506</v>
      </c>
      <c r="L5" s="97">
        <f>(H5/I5)*100</f>
        <v>137.17275259990217</v>
      </c>
    </row>
    <row r="6" spans="2:12" ht="15">
      <c r="B6" s="28" t="s">
        <v>100</v>
      </c>
      <c r="C6" s="87">
        <f>'Rach.przep.pienięż LUG S.A.'!C7</f>
        <v>0.4499999999999993</v>
      </c>
      <c r="D6" s="87">
        <f>'Rach.przep.pienięż LUG S.A.'!D7</f>
        <v>9.26</v>
      </c>
      <c r="E6" s="89">
        <f aca="true" t="shared" si="0" ref="E6:E13">C6/4.1841</f>
        <v>0.10755001075500091</v>
      </c>
      <c r="F6" s="87">
        <f aca="true" t="shared" si="1" ref="F6:F13">D6/4.2415</f>
        <v>2.183189909230225</v>
      </c>
      <c r="G6" s="94">
        <f aca="true" t="shared" si="2" ref="G6:G13">(C6/D6)*100</f>
        <v>4.859611231101504</v>
      </c>
      <c r="H6" s="89">
        <f>'Rach.przep.pienięż LUG S.A.'!E7</f>
        <v>19.06</v>
      </c>
      <c r="I6" s="87">
        <f>'Rach.przep.pienięż LUG S.A.'!F7</f>
        <v>27.6</v>
      </c>
      <c r="J6" s="87">
        <f aca="true" t="shared" si="3" ref="J6:J13">H6/4.1803</f>
        <v>4.559481376934669</v>
      </c>
      <c r="K6" s="87">
        <f aca="true" t="shared" si="4" ref="K6:K13">I6/4.2231</f>
        <v>6.535483412658948</v>
      </c>
      <c r="L6" s="98">
        <f aca="true" t="shared" si="5" ref="L6:L13">(H6/I6)*100</f>
        <v>69.05797101449275</v>
      </c>
    </row>
    <row r="7" spans="2:12" ht="15">
      <c r="B7" s="27" t="s">
        <v>101</v>
      </c>
      <c r="C7" s="86">
        <f>'RZiS LUG S.A.'!C10</f>
        <v>315</v>
      </c>
      <c r="D7" s="86">
        <f>'RZiS LUG S.A.'!D10</f>
        <v>255.09</v>
      </c>
      <c r="E7" s="88">
        <f t="shared" si="0"/>
        <v>75.28500752850076</v>
      </c>
      <c r="F7" s="86">
        <f t="shared" si="1"/>
        <v>60.141459389366965</v>
      </c>
      <c r="G7" s="93">
        <f t="shared" si="2"/>
        <v>123.48582853110666</v>
      </c>
      <c r="H7" s="88">
        <f>'RZiS LUG S.A.'!E10</f>
        <v>645</v>
      </c>
      <c r="I7" s="86">
        <f>'RZiS LUG S.A.'!F10</f>
        <v>469.04999999999995</v>
      </c>
      <c r="J7" s="86">
        <f t="shared" si="3"/>
        <v>154.29514628136738</v>
      </c>
      <c r="K7" s="86">
        <f t="shared" si="4"/>
        <v>111.06769908361156</v>
      </c>
      <c r="L7" s="97">
        <f t="shared" si="5"/>
        <v>137.51199232491206</v>
      </c>
    </row>
    <row r="8" spans="2:12" ht="15">
      <c r="B8" s="28" t="s">
        <v>102</v>
      </c>
      <c r="C8" s="87">
        <f>'RZiS LUG S.A.'!C10-'RZiS LUG S.A.'!C13-'RZiS LUG S.A.'!C14</f>
        <v>100.68</v>
      </c>
      <c r="D8" s="87">
        <f>'RZiS LUG S.A.'!D10-'RZiS LUG S.A.'!D13-'RZiS LUG S.A.'!D14</f>
        <v>32.27000000000001</v>
      </c>
      <c r="E8" s="89">
        <f t="shared" si="0"/>
        <v>24.062522406252242</v>
      </c>
      <c r="F8" s="87">
        <f t="shared" si="1"/>
        <v>7.608157491453497</v>
      </c>
      <c r="G8" s="94">
        <f t="shared" si="2"/>
        <v>311.99256275178175</v>
      </c>
      <c r="H8" s="89">
        <f>'RZiS LUG S.A.'!E10-'RZiS LUG S.A.'!E13-'RZiS LUG S.A.'!E14</f>
        <v>-28.870000000000005</v>
      </c>
      <c r="I8" s="89">
        <f>'RZiS LUG S.A.'!F10-'RZiS LUG S.A.'!F13-'RZiS LUG S.A.'!F14</f>
        <v>-219.94000000000005</v>
      </c>
      <c r="J8" s="87">
        <f t="shared" si="3"/>
        <v>-6.9062029040977935</v>
      </c>
      <c r="K8" s="87">
        <f t="shared" si="4"/>
        <v>-52.080225426819176</v>
      </c>
      <c r="L8" s="98">
        <f t="shared" si="5"/>
        <v>13.126307174684005</v>
      </c>
    </row>
    <row r="9" spans="2:12" ht="15">
      <c r="B9" s="27" t="s">
        <v>103</v>
      </c>
      <c r="C9" s="86">
        <f>'RZiS LUG S.A.'!C17</f>
        <v>58.40999999999999</v>
      </c>
      <c r="D9" s="86">
        <f>'RZiS LUG S.A.'!D17</f>
        <v>33.63000000000001</v>
      </c>
      <c r="E9" s="88">
        <f t="shared" si="0"/>
        <v>13.959991395999138</v>
      </c>
      <c r="F9" s="86">
        <f t="shared" si="1"/>
        <v>7.928798774018627</v>
      </c>
      <c r="G9" s="93">
        <f t="shared" si="2"/>
        <v>173.6842105263157</v>
      </c>
      <c r="H9" s="88">
        <f>'RZiS LUG S.A.'!E17</f>
        <v>-70.97999999999999</v>
      </c>
      <c r="I9" s="88">
        <f>'RZiS LUG S.A.'!F17</f>
        <v>-218.17000000000007</v>
      </c>
      <c r="J9" s="86">
        <f t="shared" si="3"/>
        <v>-16.9796426093821</v>
      </c>
      <c r="K9" s="86">
        <f t="shared" si="4"/>
        <v>-51.661102034050835</v>
      </c>
      <c r="L9" s="97">
        <f t="shared" si="5"/>
        <v>32.53426227253975</v>
      </c>
    </row>
    <row r="10" spans="2:12" ht="15">
      <c r="B10" s="28" t="s">
        <v>104</v>
      </c>
      <c r="C10" s="87">
        <f>'RZiS LUG S.A.'!C21</f>
        <v>60.97999999999999</v>
      </c>
      <c r="D10" s="87">
        <f>'RZiS LUG S.A.'!D21</f>
        <v>34.39000000000001</v>
      </c>
      <c r="E10" s="89">
        <f t="shared" si="0"/>
        <v>14.574221457422144</v>
      </c>
      <c r="F10" s="87">
        <f t="shared" si="1"/>
        <v>8.107980667216788</v>
      </c>
      <c r="G10" s="94">
        <f t="shared" si="2"/>
        <v>177.31898807792956</v>
      </c>
      <c r="H10" s="89">
        <f>'RZiS LUG S.A.'!E21</f>
        <v>631.4599999999999</v>
      </c>
      <c r="I10" s="89">
        <f>'RZiS LUG S.A.'!F21</f>
        <v>485.28</v>
      </c>
      <c r="J10" s="87">
        <f t="shared" si="3"/>
        <v>151.05614429586393</v>
      </c>
      <c r="K10" s="87">
        <f t="shared" si="4"/>
        <v>114.91084748170775</v>
      </c>
      <c r="L10" s="98">
        <f t="shared" si="5"/>
        <v>130.1228156940323</v>
      </c>
    </row>
    <row r="11" spans="2:12" ht="15">
      <c r="B11" s="27" t="s">
        <v>106</v>
      </c>
      <c r="C11" s="145">
        <f>C6+C9</f>
        <v>58.859999999999985</v>
      </c>
      <c r="D11" s="145">
        <f>D6+D9</f>
        <v>42.89000000000001</v>
      </c>
      <c r="E11" s="88">
        <f t="shared" si="0"/>
        <v>14.067541406754138</v>
      </c>
      <c r="F11" s="86">
        <f t="shared" si="1"/>
        <v>10.111988683248851</v>
      </c>
      <c r="G11" s="93">
        <f t="shared" si="2"/>
        <v>137.23478666355788</v>
      </c>
      <c r="H11" s="88">
        <f>H6+H9</f>
        <v>-51.91999999999999</v>
      </c>
      <c r="I11" s="88">
        <f>I9+I6</f>
        <v>-190.57000000000008</v>
      </c>
      <c r="J11" s="86">
        <f t="shared" si="3"/>
        <v>-12.420161232447429</v>
      </c>
      <c r="K11" s="86">
        <f t="shared" si="4"/>
        <v>-45.125618621391894</v>
      </c>
      <c r="L11" s="97">
        <f t="shared" si="5"/>
        <v>27.244582043343634</v>
      </c>
    </row>
    <row r="12" spans="2:12" ht="15">
      <c r="B12" s="28" t="s">
        <v>107</v>
      </c>
      <c r="C12" s="89">
        <f>'RZiS LUG S.A.'!C21</f>
        <v>60.97999999999999</v>
      </c>
      <c r="D12" s="89">
        <f>'RZiS LUG S.A.'!D21</f>
        <v>34.39000000000001</v>
      </c>
      <c r="E12" s="89">
        <f t="shared" si="0"/>
        <v>14.574221457422144</v>
      </c>
      <c r="F12" s="87">
        <f t="shared" si="1"/>
        <v>8.107980667216788</v>
      </c>
      <c r="G12" s="94">
        <f t="shared" si="2"/>
        <v>177.31898807792956</v>
      </c>
      <c r="H12" s="89">
        <f>'RZiS LUG S.A.'!E21</f>
        <v>631.4599999999999</v>
      </c>
      <c r="I12" s="89">
        <f>'RZiS LUG S.A.'!F21</f>
        <v>485.28</v>
      </c>
      <c r="J12" s="87">
        <f t="shared" si="3"/>
        <v>151.05614429586393</v>
      </c>
      <c r="K12" s="87">
        <f t="shared" si="4"/>
        <v>114.91084748170775</v>
      </c>
      <c r="L12" s="98">
        <f t="shared" si="5"/>
        <v>130.1228156940323</v>
      </c>
    </row>
    <row r="13" spans="2:12" ht="15">
      <c r="B13" s="27" t="s">
        <v>22</v>
      </c>
      <c r="C13" s="88">
        <f>'RZiS LUG S.A.'!C26</f>
        <v>60.97999999999999</v>
      </c>
      <c r="D13" s="88">
        <f>'RZiS LUG S.A.'!D26</f>
        <v>34.3</v>
      </c>
      <c r="E13" s="88">
        <f t="shared" si="0"/>
        <v>14.574221457422144</v>
      </c>
      <c r="F13" s="86">
        <f t="shared" si="1"/>
        <v>8.08676175881174</v>
      </c>
      <c r="G13" s="93">
        <f t="shared" si="2"/>
        <v>177.78425655976676</v>
      </c>
      <c r="H13" s="88">
        <f>'RZiS LUG S.A.'!E26</f>
        <v>631.4599999999999</v>
      </c>
      <c r="I13" s="88">
        <f>'RZiS LUG S.A.'!F26</f>
        <v>485.28</v>
      </c>
      <c r="J13" s="86">
        <f t="shared" si="3"/>
        <v>151.05614429586393</v>
      </c>
      <c r="K13" s="86">
        <f t="shared" si="4"/>
        <v>114.91084748170775</v>
      </c>
      <c r="L13" s="97">
        <f t="shared" si="5"/>
        <v>130.1228156940323</v>
      </c>
    </row>
    <row r="14" spans="2:12" ht="15">
      <c r="B14" s="172"/>
      <c r="C14" s="32" t="s">
        <v>179</v>
      </c>
      <c r="D14" s="32" t="s">
        <v>179</v>
      </c>
      <c r="E14" s="32" t="s">
        <v>179</v>
      </c>
      <c r="F14" s="32" t="s">
        <v>179</v>
      </c>
      <c r="G14" s="170" t="s">
        <v>97</v>
      </c>
      <c r="H14" s="32" t="s">
        <v>179</v>
      </c>
      <c r="I14" s="32" t="s">
        <v>179</v>
      </c>
      <c r="J14" s="32" t="s">
        <v>179</v>
      </c>
      <c r="K14" s="32" t="s">
        <v>179</v>
      </c>
      <c r="L14" s="171" t="s">
        <v>97</v>
      </c>
    </row>
    <row r="15" spans="2:12" ht="15">
      <c r="B15" s="173"/>
      <c r="C15" s="30" t="s">
        <v>165</v>
      </c>
      <c r="D15" s="30" t="s">
        <v>98</v>
      </c>
      <c r="E15" s="30" t="s">
        <v>166</v>
      </c>
      <c r="F15" s="30" t="s">
        <v>99</v>
      </c>
      <c r="G15" s="170"/>
      <c r="H15" s="30" t="s">
        <v>165</v>
      </c>
      <c r="I15" s="30" t="s">
        <v>98</v>
      </c>
      <c r="J15" s="30" t="s">
        <v>166</v>
      </c>
      <c r="K15" s="30" t="s">
        <v>99</v>
      </c>
      <c r="L15" s="171"/>
    </row>
    <row r="16" spans="2:12" ht="15">
      <c r="B16" s="28" t="s">
        <v>108</v>
      </c>
      <c r="C16" s="90">
        <f>C17+C18</f>
        <v>32384.279999999995</v>
      </c>
      <c r="D16" s="90">
        <f>D17+D18</f>
        <v>31683.64</v>
      </c>
      <c r="E16" s="90">
        <f>C16/4.1755</f>
        <v>7755.784935935814</v>
      </c>
      <c r="F16" s="90">
        <f>D16/4.2163</f>
        <v>7514.560159381447</v>
      </c>
      <c r="G16" s="95">
        <f>(C16/D16)*100</f>
        <v>102.21136207834705</v>
      </c>
      <c r="H16" s="90">
        <f>H17+H18</f>
        <v>32384.279999999995</v>
      </c>
      <c r="I16" s="90">
        <f>I17+I18</f>
        <v>31683.64</v>
      </c>
      <c r="J16" s="90">
        <f>H16/4.1755</f>
        <v>7755.784935935814</v>
      </c>
      <c r="K16" s="90">
        <f>I16/4.2163</f>
        <v>7514.560159381447</v>
      </c>
      <c r="L16" s="99">
        <f>(H16/I16)*100</f>
        <v>102.21136207834705</v>
      </c>
    </row>
    <row r="17" spans="2:12" ht="15">
      <c r="B17" s="27" t="s">
        <v>29</v>
      </c>
      <c r="C17" s="146">
        <f>'Bilans LUG S.A.'!C4</f>
        <v>31633.529999999995</v>
      </c>
      <c r="D17" s="146">
        <f>'Bilans LUG S.A.'!D4</f>
        <v>30853.41</v>
      </c>
      <c r="E17" s="146">
        <f aca="true" t="shared" si="6" ref="E17:E28">C17/4.1755</f>
        <v>7575.986109447968</v>
      </c>
      <c r="F17" s="146">
        <f>D17/4.2163</f>
        <v>7317.650546687853</v>
      </c>
      <c r="G17" s="96">
        <f aca="true" t="shared" si="7" ref="G17:G28">(C17/D17)*100</f>
        <v>102.52847254160883</v>
      </c>
      <c r="H17" s="146">
        <f>'Bilans LUG S.A.'!C4</f>
        <v>31633.529999999995</v>
      </c>
      <c r="I17" s="146">
        <f>'Bilans LUG S.A.'!D4</f>
        <v>30853.41</v>
      </c>
      <c r="J17" s="146">
        <f aca="true" t="shared" si="8" ref="J17:J28">H17/4.1755</f>
        <v>7575.986109447968</v>
      </c>
      <c r="K17" s="146">
        <f aca="true" t="shared" si="9" ref="K17:K28">I17/4.2163</f>
        <v>7317.650546687853</v>
      </c>
      <c r="L17" s="147">
        <f aca="true" t="shared" si="10" ref="L17:L28">(H17/I17)*100</f>
        <v>102.52847254160883</v>
      </c>
    </row>
    <row r="18" spans="2:12" ht="15">
      <c r="B18" s="28" t="s">
        <v>38</v>
      </c>
      <c r="C18" s="90">
        <f>'Bilans LUG S.A.'!C13</f>
        <v>750.75</v>
      </c>
      <c r="D18" s="90">
        <f>'Bilans LUG S.A.'!D13</f>
        <v>830.23</v>
      </c>
      <c r="E18" s="90">
        <f t="shared" si="6"/>
        <v>179.79882648784576</v>
      </c>
      <c r="F18" s="90">
        <f aca="true" t="shared" si="11" ref="F18:F28">D18/4.2163</f>
        <v>196.90961269359389</v>
      </c>
      <c r="G18" s="95">
        <f t="shared" si="7"/>
        <v>90.42674921407321</v>
      </c>
      <c r="H18" s="90">
        <f>'Bilans LUG S.A.'!C13</f>
        <v>750.75</v>
      </c>
      <c r="I18" s="90">
        <f>'Bilans LUG S.A.'!D13</f>
        <v>830.23</v>
      </c>
      <c r="J18" s="90">
        <f t="shared" si="8"/>
        <v>179.79882648784576</v>
      </c>
      <c r="K18" s="90">
        <f t="shared" si="9"/>
        <v>196.90961269359389</v>
      </c>
      <c r="L18" s="99">
        <f t="shared" si="10"/>
        <v>90.42674921407321</v>
      </c>
    </row>
    <row r="19" spans="2:12" ht="15">
      <c r="B19" s="27" t="s">
        <v>39</v>
      </c>
      <c r="C19" s="91">
        <f>'Bilans LUG S.A.'!C14</f>
        <v>0</v>
      </c>
      <c r="D19" s="146">
        <f>'Bilans LUG S.A.'!D14</f>
        <v>0</v>
      </c>
      <c r="E19" s="146">
        <f t="shared" si="6"/>
        <v>0</v>
      </c>
      <c r="F19" s="146">
        <f t="shared" si="11"/>
        <v>0</v>
      </c>
      <c r="G19" s="96" t="s">
        <v>105</v>
      </c>
      <c r="H19" s="146">
        <f>'Bilans LUG S.A.'!C14</f>
        <v>0</v>
      </c>
      <c r="I19" s="146">
        <f>'Bilans LUG S.A.'!D14</f>
        <v>0</v>
      </c>
      <c r="J19" s="146">
        <f t="shared" si="8"/>
        <v>0</v>
      </c>
      <c r="K19" s="146">
        <f t="shared" si="9"/>
        <v>0</v>
      </c>
      <c r="L19" s="147" t="s">
        <v>105</v>
      </c>
    </row>
    <row r="20" spans="2:12" ht="15">
      <c r="B20" s="28" t="s">
        <v>109</v>
      </c>
      <c r="C20" s="90">
        <f>'Bilans LUG S.A.'!C22</f>
        <v>436.96</v>
      </c>
      <c r="D20" s="90">
        <f>'Bilans LUG S.A.'!D22</f>
        <v>13.4</v>
      </c>
      <c r="E20" s="90">
        <f t="shared" si="6"/>
        <v>104.64854508442102</v>
      </c>
      <c r="F20" s="90">
        <f t="shared" si="11"/>
        <v>3.1781419728197706</v>
      </c>
      <c r="G20" s="95">
        <f t="shared" si="7"/>
        <v>3260.8955223880594</v>
      </c>
      <c r="H20" s="90">
        <f>'Bilans LUG S.A.'!C22</f>
        <v>436.96</v>
      </c>
      <c r="I20" s="90">
        <f>'Bilans LUG S.A.'!D22</f>
        <v>13.4</v>
      </c>
      <c r="J20" s="90">
        <f t="shared" si="8"/>
        <v>104.64854508442102</v>
      </c>
      <c r="K20" s="90">
        <f t="shared" si="9"/>
        <v>3.1781419728197706</v>
      </c>
      <c r="L20" s="99">
        <f t="shared" si="10"/>
        <v>3260.8955223880594</v>
      </c>
    </row>
    <row r="21" spans="2:12" ht="15">
      <c r="B21" s="27" t="s">
        <v>110</v>
      </c>
      <c r="C21" s="91">
        <f>C22+C23</f>
        <v>841.26</v>
      </c>
      <c r="D21" s="146">
        <f>D22+D23</f>
        <v>1108.8600000000001</v>
      </c>
      <c r="E21" s="146">
        <f t="shared" si="6"/>
        <v>201.47527242246434</v>
      </c>
      <c r="F21" s="146">
        <f t="shared" si="11"/>
        <v>262.99361999857695</v>
      </c>
      <c r="G21" s="96">
        <f t="shared" si="7"/>
        <v>75.8671067582923</v>
      </c>
      <c r="H21" s="146">
        <f>H22+H23</f>
        <v>841.26</v>
      </c>
      <c r="I21" s="146">
        <f>I22+I23</f>
        <v>1108.8600000000001</v>
      </c>
      <c r="J21" s="146">
        <f t="shared" si="8"/>
        <v>201.47527242246434</v>
      </c>
      <c r="K21" s="146">
        <f t="shared" si="9"/>
        <v>262.99361999857695</v>
      </c>
      <c r="L21" s="147">
        <f t="shared" si="10"/>
        <v>75.8671067582923</v>
      </c>
    </row>
    <row r="22" spans="2:12" ht="15">
      <c r="B22" s="28" t="s">
        <v>111</v>
      </c>
      <c r="C22" s="90">
        <f>'Bilans LUG S.A.'!C15+'Bilans LUG S.A.'!C16+'Bilans LUG S.A.'!C17</f>
        <v>306.51000000000005</v>
      </c>
      <c r="D22" s="90">
        <f>'Bilans LUG S.A.'!D15+'Bilans LUG S.A.'!D16+'Bilans LUG S.A.'!D17</f>
        <v>574.11</v>
      </c>
      <c r="E22" s="90">
        <f t="shared" si="6"/>
        <v>73.40677763142139</v>
      </c>
      <c r="F22" s="90">
        <f t="shared" si="11"/>
        <v>136.16440955339988</v>
      </c>
      <c r="G22" s="95">
        <f t="shared" si="7"/>
        <v>53.38872341537336</v>
      </c>
      <c r="H22" s="90">
        <f>'Bilans LUG S.A.'!C15+'Bilans LUG S.A.'!C16+'Bilans LUG S.A.'!C17</f>
        <v>306.51000000000005</v>
      </c>
      <c r="I22" s="90">
        <f>'Bilans LUG S.A.'!D15+'Bilans LUG S.A.'!D16+'Bilans LUG S.A.'!D17</f>
        <v>574.11</v>
      </c>
      <c r="J22" s="90">
        <f t="shared" si="8"/>
        <v>73.40677763142139</v>
      </c>
      <c r="K22" s="90">
        <f t="shared" si="9"/>
        <v>136.16440955339988</v>
      </c>
      <c r="L22" s="99">
        <f t="shared" si="10"/>
        <v>53.38872341537336</v>
      </c>
    </row>
    <row r="23" spans="2:12" ht="15">
      <c r="B23" s="27" t="s">
        <v>112</v>
      </c>
      <c r="C23" s="91">
        <f>'Bilans LUG S.A.'!C12</f>
        <v>534.75</v>
      </c>
      <c r="D23" s="146">
        <f>'Bilans LUG S.A.'!D12</f>
        <v>534.75</v>
      </c>
      <c r="E23" s="146">
        <f t="shared" si="6"/>
        <v>128.06849479104298</v>
      </c>
      <c r="F23" s="146">
        <f t="shared" si="11"/>
        <v>126.82921044517704</v>
      </c>
      <c r="G23" s="96">
        <f t="shared" si="7"/>
        <v>100</v>
      </c>
      <c r="H23" s="146">
        <f>'Bilans LUG S.A.'!C12</f>
        <v>534.75</v>
      </c>
      <c r="I23" s="146">
        <f>'Bilans LUG S.A.'!D12</f>
        <v>534.75</v>
      </c>
      <c r="J23" s="146">
        <f t="shared" si="8"/>
        <v>128.06849479104298</v>
      </c>
      <c r="K23" s="146">
        <f t="shared" si="9"/>
        <v>126.82921044517704</v>
      </c>
      <c r="L23" s="147" t="s">
        <v>105</v>
      </c>
    </row>
    <row r="24" spans="2:12" ht="15">
      <c r="B24" s="28" t="s">
        <v>113</v>
      </c>
      <c r="C24" s="90">
        <f>C25+C26</f>
        <v>284.84000000000003</v>
      </c>
      <c r="D24" s="90">
        <f>D25+D26</f>
        <v>270.08000000000004</v>
      </c>
      <c r="E24" s="90">
        <f t="shared" si="6"/>
        <v>68.21698000239492</v>
      </c>
      <c r="F24" s="90">
        <f t="shared" si="11"/>
        <v>64.05616298650476</v>
      </c>
      <c r="G24" s="95">
        <f t="shared" si="7"/>
        <v>105.46504739336493</v>
      </c>
      <c r="H24" s="90">
        <f>H25+H26</f>
        <v>284.84000000000003</v>
      </c>
      <c r="I24" s="90">
        <f>I25+I26</f>
        <v>270.08000000000004</v>
      </c>
      <c r="J24" s="90">
        <f t="shared" si="8"/>
        <v>68.21698000239492</v>
      </c>
      <c r="K24" s="90">
        <f t="shared" si="9"/>
        <v>64.05616298650476</v>
      </c>
      <c r="L24" s="99">
        <f t="shared" si="10"/>
        <v>105.46504739336493</v>
      </c>
    </row>
    <row r="25" spans="2:12" ht="15">
      <c r="B25" s="27" t="s">
        <v>114</v>
      </c>
      <c r="C25" s="91">
        <f>'Bilans LUG S.A.'!C38</f>
        <v>144.93</v>
      </c>
      <c r="D25" s="146">
        <f>'Bilans LUG S.A.'!D38</f>
        <v>133.87</v>
      </c>
      <c r="E25" s="146">
        <f t="shared" si="6"/>
        <v>34.709615614896414</v>
      </c>
      <c r="F25" s="146">
        <f t="shared" si="11"/>
        <v>31.750587007565873</v>
      </c>
      <c r="G25" s="96">
        <f t="shared" si="7"/>
        <v>108.26174647045642</v>
      </c>
      <c r="H25" s="146">
        <f>'Bilans LUG S.A.'!C38</f>
        <v>144.93</v>
      </c>
      <c r="I25" s="146">
        <f>'Bilans LUG S.A.'!D38</f>
        <v>133.87</v>
      </c>
      <c r="J25" s="146">
        <f t="shared" si="8"/>
        <v>34.709615614896414</v>
      </c>
      <c r="K25" s="146">
        <f t="shared" si="9"/>
        <v>31.750587007565873</v>
      </c>
      <c r="L25" s="147">
        <f t="shared" si="10"/>
        <v>108.26174647045642</v>
      </c>
    </row>
    <row r="26" spans="2:12" ht="15">
      <c r="B26" s="28" t="s">
        <v>69</v>
      </c>
      <c r="C26" s="90">
        <f>'Bilans LUG S.A.'!C46</f>
        <v>139.91</v>
      </c>
      <c r="D26" s="90">
        <f>'Bilans LUG S.A.'!D46</f>
        <v>136.21</v>
      </c>
      <c r="E26" s="90">
        <f t="shared" si="6"/>
        <v>33.5073643874985</v>
      </c>
      <c r="F26" s="90">
        <f t="shared" si="11"/>
        <v>32.305575978938876</v>
      </c>
      <c r="G26" s="95">
        <f t="shared" si="7"/>
        <v>102.71639380368546</v>
      </c>
      <c r="H26" s="90">
        <f>'Bilans LUG S.A.'!C46</f>
        <v>139.91</v>
      </c>
      <c r="I26" s="90">
        <f>'Bilans LUG S.A.'!D46</f>
        <v>136.21</v>
      </c>
      <c r="J26" s="90">
        <f t="shared" si="8"/>
        <v>33.5073643874985</v>
      </c>
      <c r="K26" s="90">
        <f t="shared" si="9"/>
        <v>32.305575978938876</v>
      </c>
      <c r="L26" s="99">
        <f t="shared" si="10"/>
        <v>102.71639380368546</v>
      </c>
    </row>
    <row r="27" spans="2:12" ht="15">
      <c r="B27" s="27" t="s">
        <v>115</v>
      </c>
      <c r="C27" s="91">
        <f>'Bilans LUG S.A.'!C28</f>
        <v>32099.440000000002</v>
      </c>
      <c r="D27" s="146">
        <f>'Bilans LUG S.A.'!D28</f>
        <v>31413.56</v>
      </c>
      <c r="E27" s="146">
        <f t="shared" si="6"/>
        <v>7687.567955933421</v>
      </c>
      <c r="F27" s="146">
        <f t="shared" si="11"/>
        <v>7450.503996394943</v>
      </c>
      <c r="G27" s="96">
        <f t="shared" si="7"/>
        <v>102.18338832020312</v>
      </c>
      <c r="H27" s="146">
        <f>'Bilans LUG S.A.'!C28</f>
        <v>32099.440000000002</v>
      </c>
      <c r="I27" s="146">
        <f>'Bilans LUG S.A.'!D28</f>
        <v>31413.56</v>
      </c>
      <c r="J27" s="146">
        <f t="shared" si="8"/>
        <v>7687.567955933421</v>
      </c>
      <c r="K27" s="146">
        <f t="shared" si="9"/>
        <v>7450.503996394943</v>
      </c>
      <c r="L27" s="147">
        <f t="shared" si="10"/>
        <v>102.18338832020312</v>
      </c>
    </row>
    <row r="28" spans="2:12" ht="15">
      <c r="B28" s="28" t="s">
        <v>116</v>
      </c>
      <c r="C28" s="90">
        <f>'Bilans LUG S.A.'!C29</f>
        <v>1799.64</v>
      </c>
      <c r="D28" s="90">
        <f>'Bilans LUG S.A.'!D29</f>
        <v>1799.64</v>
      </c>
      <c r="E28" s="90">
        <f t="shared" si="6"/>
        <v>430.9998802538618</v>
      </c>
      <c r="F28" s="90">
        <f t="shared" si="11"/>
        <v>426.829210445177</v>
      </c>
      <c r="G28" s="95">
        <f t="shared" si="7"/>
        <v>100</v>
      </c>
      <c r="H28" s="90">
        <f>'Bilans LUG S.A.'!C29</f>
        <v>1799.64</v>
      </c>
      <c r="I28" s="90">
        <f>'Bilans LUG S.A.'!D29</f>
        <v>1799.64</v>
      </c>
      <c r="J28" s="90">
        <f t="shared" si="8"/>
        <v>430.9998802538618</v>
      </c>
      <c r="K28" s="90">
        <f t="shared" si="9"/>
        <v>426.829210445177</v>
      </c>
      <c r="L28" s="99">
        <f t="shared" si="10"/>
        <v>100</v>
      </c>
    </row>
  </sheetData>
  <sheetProtection/>
  <mergeCells count="6">
    <mergeCell ref="B3:B4"/>
    <mergeCell ref="G3:G4"/>
    <mergeCell ref="L3:L4"/>
    <mergeCell ref="B14:B15"/>
    <mergeCell ref="G14:G15"/>
    <mergeCell ref="L14:L1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F12"/>
  <sheetViews>
    <sheetView zoomScalePageLayoutView="0" workbookViewId="0" topLeftCell="A1">
      <selection activeCell="E4" sqref="E4:F5"/>
    </sheetView>
  </sheetViews>
  <sheetFormatPr defaultColWidth="9.140625" defaultRowHeight="15"/>
  <cols>
    <col min="2" max="2" width="39.00390625" style="0" customWidth="1"/>
    <col min="3" max="3" width="13.57421875" style="0" customWidth="1"/>
    <col min="4" max="4" width="10.421875" style="0" bestFit="1" customWidth="1"/>
    <col min="5" max="5" width="12.421875" style="0" customWidth="1"/>
    <col min="6" max="6" width="12.57421875" style="0" customWidth="1"/>
  </cols>
  <sheetData>
    <row r="4" spans="2:6" ht="15">
      <c r="B4" s="174"/>
      <c r="C4" s="33" t="s">
        <v>117</v>
      </c>
      <c r="D4" s="33" t="s">
        <v>117</v>
      </c>
      <c r="E4" s="34" t="s">
        <v>178</v>
      </c>
      <c r="F4" s="34" t="s">
        <v>178</v>
      </c>
    </row>
    <row r="5" spans="2:6" ht="15">
      <c r="B5" s="175"/>
      <c r="C5" s="35">
        <v>2014</v>
      </c>
      <c r="D5" s="36">
        <v>2013</v>
      </c>
      <c r="E5" s="37">
        <v>2014</v>
      </c>
      <c r="F5" s="38">
        <v>2013</v>
      </c>
    </row>
    <row r="6" spans="2:6" ht="15">
      <c r="B6" s="39" t="s">
        <v>118</v>
      </c>
      <c r="C6" s="148">
        <f>'Wybrane dane finansowe LUG S.A '!C9/'Wybrane dane finansowe LUG S.A '!C5</f>
        <v>0.1854285714285714</v>
      </c>
      <c r="D6" s="148">
        <f>'Wybrane dane finansowe LUG S.A '!D9/'Wybrane dane finansowe LUG S.A '!D5</f>
        <v>0.1318823529411765</v>
      </c>
      <c r="E6" s="149">
        <f>'Wybrane dane finansowe LUG S.A '!H9/'Wybrane dane finansowe LUG S.A '!H5</f>
        <v>-0.11004651162790696</v>
      </c>
      <c r="F6" s="150">
        <f>'Wybrane dane finansowe LUG S.A '!I9/'Wybrane dane finansowe LUG S.A '!I5</f>
        <v>-0.463984177282491</v>
      </c>
    </row>
    <row r="7" spans="2:6" ht="15">
      <c r="B7" s="40" t="s">
        <v>119</v>
      </c>
      <c r="C7" s="151">
        <f>'Wybrane dane finansowe LUG S.A '!C11/'Wybrane dane finansowe LUG S.A '!C5</f>
        <v>0.1868571428571428</v>
      </c>
      <c r="D7" s="151">
        <f>'Wybrane dane finansowe LUG S.A '!D11/'Wybrane dane finansowe LUG S.A '!D5</f>
        <v>0.16819607843137258</v>
      </c>
      <c r="E7" s="152">
        <f>'Wybrane dane finansowe LUG S.A '!H11/'Wybrane dane finansowe LUG S.A '!H5</f>
        <v>-0.08049612403100773</v>
      </c>
      <c r="F7" s="153">
        <f>'Wybrane dane finansowe LUG S.A '!I11/'Wybrane dane finansowe LUG S.A '!I5</f>
        <v>-0.40528699942578866</v>
      </c>
    </row>
    <row r="8" spans="2:6" ht="15">
      <c r="B8" s="39" t="s">
        <v>120</v>
      </c>
      <c r="C8" s="148">
        <f>'Wybrane dane finansowe LUG S.A '!C13/'Wybrane dane finansowe LUG S.A '!C5</f>
        <v>0.19358730158730156</v>
      </c>
      <c r="D8" s="148">
        <f>'Wybrane dane finansowe LUG S.A '!D13/'Wybrane dane finansowe LUG S.A '!D5</f>
        <v>0.1345098039215686</v>
      </c>
      <c r="E8" s="149">
        <f>'Wybrane dane finansowe LUG S.A '!H13/'Wybrane dane finansowe LUG S.A '!H5</f>
        <v>0.9790077519379844</v>
      </c>
      <c r="F8" s="150">
        <f>'Wybrane dane finansowe LUG S.A '!I13/'Wybrane dane finansowe LUG S.A '!I5</f>
        <v>1.0320495097934965</v>
      </c>
    </row>
    <row r="9" spans="2:6" ht="15">
      <c r="B9" s="40" t="s">
        <v>121</v>
      </c>
      <c r="C9" s="151">
        <f>'Wybrane dane finansowe LUG S.A '!C13/('Wybrane dane finansowe LUG S.A '!C16-'Wybrane dane finansowe LUG S.A '!C24)</f>
        <v>0.0018997216150811354</v>
      </c>
      <c r="D9" s="151">
        <f>'Wybrane dane finansowe LUG S.A '!D13/('Wybrane dane finansowe LUG S.A '!D16-'Wybrane dane finansowe LUG S.A '!D24)</f>
        <v>0.0010918851604211684</v>
      </c>
      <c r="E9" s="152">
        <f>'Wybrane dane finansowe LUG S.A '!H13/('Wybrane dane finansowe LUG S.A '!H16-'Wybrane dane finansowe LUG S.A '!H24)</f>
        <v>0.019671994277781792</v>
      </c>
      <c r="F9" s="153">
        <f>'Wybrane dane finansowe LUG S.A '!I13/('Wybrane dane finansowe LUG S.A '!I16-'Wybrane dane finansowe LUG S.A '!I24)</f>
        <v>0.015448105849830456</v>
      </c>
    </row>
    <row r="10" spans="2:6" ht="15">
      <c r="B10" s="41" t="s">
        <v>122</v>
      </c>
      <c r="C10" s="148">
        <f>'Wybrane dane finansowe LUG S.A '!C13/'Wybrane dane finansowe LUG S.A '!C16</f>
        <v>0.001883012375140037</v>
      </c>
      <c r="D10" s="148">
        <f>'Wybrane dane finansowe LUG S.A '!D13/'Wybrane dane finansowe LUG S.A '!D16</f>
        <v>0.0010825776331254869</v>
      </c>
      <c r="E10" s="149">
        <f>'Wybrane dane finansowe LUG S.A '!H13/'Wybrane dane finansowe LUG S.A '!H16</f>
        <v>0.019498966782648865</v>
      </c>
      <c r="F10" s="150">
        <f>'Wybrane dane finansowe LUG S.A '!I13/'Wybrane dane finansowe LUG S.A '!I16</f>
        <v>0.01531642197676782</v>
      </c>
    </row>
    <row r="11" spans="2:6" ht="15">
      <c r="B11" s="40" t="s">
        <v>123</v>
      </c>
      <c r="C11" s="151">
        <f>'Wybrane dane finansowe LUG S.A '!C18/'Wybrane dane finansowe LUG S.A '!C26</f>
        <v>5.365949538989351</v>
      </c>
      <c r="D11" s="151">
        <f>'Wybrane dane finansowe LUG S.A '!D18/'Wybrane dane finansowe LUG S.A '!D26</f>
        <v>6.095220615226489</v>
      </c>
      <c r="E11" s="152">
        <f>'Wybrane dane finansowe LUG S.A '!H18/'Wybrane dane finansowe LUG S.A '!H26</f>
        <v>5.365949538989351</v>
      </c>
      <c r="F11" s="153">
        <f>'Wybrane dane finansowe LUG S.A '!I18/'Wybrane dane finansowe LUG S.A '!I26</f>
        <v>6.095220615226489</v>
      </c>
    </row>
    <row r="12" spans="2:6" ht="15">
      <c r="B12" s="39" t="s">
        <v>124</v>
      </c>
      <c r="C12" s="148">
        <f>'Wybrane dane finansowe LUG S.A '!C24/'Wybrane dane finansowe LUG S.A '!C16</f>
        <v>0.008795625531893872</v>
      </c>
      <c r="D12" s="148">
        <f>'Wybrane dane finansowe LUG S.A '!D24/'Wybrane dane finansowe LUG S.A '!D16</f>
        <v>0.0085242730948843</v>
      </c>
      <c r="E12" s="149">
        <f>'Wybrane dane finansowe LUG S.A '!H24/'Wybrane dane finansowe LUG S.A '!H16</f>
        <v>0.008795625531893872</v>
      </c>
      <c r="F12" s="150">
        <f>'Wybrane dane finansowe LUG S.A '!I24/'Wybrane dane finansowe LUG S.A '!I16</f>
        <v>0.0085242730948843</v>
      </c>
    </row>
  </sheetData>
  <sheetProtection/>
  <mergeCells count="1">
    <mergeCell ref="B4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E6"/>
  <sheetViews>
    <sheetView zoomScalePageLayoutView="0" workbookViewId="0" topLeftCell="A1">
      <selection activeCell="C5" sqref="C5:E6"/>
    </sheetView>
  </sheetViews>
  <sheetFormatPr defaultColWidth="9.140625" defaultRowHeight="15"/>
  <cols>
    <col min="3" max="3" width="23.421875" style="0" customWidth="1"/>
    <col min="4" max="4" width="23.00390625" style="0" customWidth="1"/>
    <col min="5" max="5" width="22.140625" style="0" bestFit="1" customWidth="1"/>
  </cols>
  <sheetData>
    <row r="2" ht="15.75" thickBot="1"/>
    <row r="3" spans="2:5" ht="15.75" thickTop="1">
      <c r="B3" s="176"/>
      <c r="C3" s="44" t="s">
        <v>125</v>
      </c>
      <c r="D3" s="44" t="s">
        <v>126</v>
      </c>
      <c r="E3" s="48" t="s">
        <v>126</v>
      </c>
    </row>
    <row r="4" spans="2:5" ht="15">
      <c r="B4" s="177"/>
      <c r="C4" s="43" t="s">
        <v>127</v>
      </c>
      <c r="D4" s="43" t="s">
        <v>117</v>
      </c>
      <c r="E4" s="49" t="s">
        <v>128</v>
      </c>
    </row>
    <row r="5" spans="2:5" ht="15">
      <c r="B5" s="45">
        <v>2013</v>
      </c>
      <c r="C5" s="42">
        <v>4.2163</v>
      </c>
      <c r="D5" s="42">
        <v>4.241466666666667</v>
      </c>
      <c r="E5" s="144">
        <v>4.223122222222222</v>
      </c>
    </row>
    <row r="6" spans="2:5" ht="15.75" thickBot="1">
      <c r="B6" s="46">
        <v>2014</v>
      </c>
      <c r="C6" s="143">
        <v>4.1755</v>
      </c>
      <c r="D6" s="143">
        <v>4.184133333333333</v>
      </c>
      <c r="E6" s="47">
        <v>4.1803333333333335</v>
      </c>
    </row>
    <row r="7" ht="15.75" thickTop="1"/>
  </sheetData>
  <sheetProtection/>
  <mergeCells count="1">
    <mergeCell ref="B3:B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Marta</cp:lastModifiedBy>
  <cp:lastPrinted>2014-10-31T12:42:36Z</cp:lastPrinted>
  <dcterms:created xsi:type="dcterms:W3CDTF">2013-11-04T11:55:12Z</dcterms:created>
  <dcterms:modified xsi:type="dcterms:W3CDTF">2014-11-14T12:43:44Z</dcterms:modified>
  <cp:category/>
  <cp:version/>
  <cp:contentType/>
  <cp:contentStatus/>
</cp:coreProperties>
</file>