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_RAPORTY OKRESOWE\2014\Raport za III kwartał 2014\dane finansowe\na stronę\"/>
    </mc:Choice>
  </mc:AlternateContent>
  <bookViews>
    <workbookView xWindow="480" yWindow="45" windowWidth="18195" windowHeight="6975" firstSheet="4" activeTab="7"/>
  </bookViews>
  <sheets>
    <sheet name="RZiS LLF" sheetId="2" r:id="rId1"/>
    <sheet name="Sk. spr.z cał.doch. LLF" sheetId="4" r:id="rId2"/>
    <sheet name="Bilans LLF" sheetId="3" r:id="rId3"/>
    <sheet name="Zest.zmian w kap.wł. LLF" sheetId="5" r:id="rId4"/>
    <sheet name="Rach.przep.pienięż LLF" sheetId="6" r:id="rId5"/>
    <sheet name="Wybrane dane finansowe LLF" sheetId="7" r:id="rId6"/>
    <sheet name="Wskaźniki finansowe LLF" sheetId="8" r:id="rId7"/>
    <sheet name="Kursy walut" sheetId="9" r:id="rId8"/>
  </sheets>
  <calcPr calcId="152511"/>
</workbook>
</file>

<file path=xl/calcChain.xml><?xml version="1.0" encoding="utf-8"?>
<calcChain xmlns="http://schemas.openxmlformats.org/spreadsheetml/2006/main">
  <c r="D54" i="3" l="1"/>
  <c r="F23" i="7" l="1"/>
  <c r="E23" i="7"/>
  <c r="D28" i="7" l="1"/>
  <c r="F28" i="7" s="1"/>
  <c r="C28" i="7"/>
  <c r="E28" i="7" s="1"/>
  <c r="I9" i="5" l="1"/>
  <c r="I10" i="5"/>
  <c r="I11" i="5"/>
  <c r="H9" i="5"/>
  <c r="H10" i="5"/>
  <c r="H11" i="5"/>
  <c r="D49" i="3"/>
  <c r="D15" i="3"/>
  <c r="D40" i="3"/>
  <c r="D48" i="3"/>
  <c r="D47" i="3"/>
  <c r="D39" i="3"/>
  <c r="C51" i="3"/>
  <c r="C32" i="3"/>
  <c r="C28" i="3" s="1"/>
  <c r="C17" i="3"/>
  <c r="H18" i="5" l="1"/>
  <c r="H19" i="5"/>
  <c r="I19" i="5" s="1"/>
  <c r="I20" i="5" s="1"/>
  <c r="E5" i="5"/>
  <c r="I23" i="7" l="1"/>
  <c r="K23" i="7" s="1"/>
  <c r="I28" i="7"/>
  <c r="K28" i="7" s="1"/>
  <c r="H28" i="7"/>
  <c r="J28" i="7" s="1"/>
  <c r="H23" i="7"/>
  <c r="J23" i="7" s="1"/>
  <c r="H6" i="7"/>
  <c r="J6" i="7" s="1"/>
  <c r="C6" i="7"/>
  <c r="E6" i="7" s="1"/>
  <c r="F7" i="2"/>
  <c r="F4" i="2"/>
  <c r="I5" i="7" s="1"/>
  <c r="K5" i="7" s="1"/>
  <c r="F10" i="2" l="1"/>
  <c r="F17" i="2" s="1"/>
  <c r="C46" i="3"/>
  <c r="I8" i="7" l="1"/>
  <c r="K8" i="7" s="1"/>
  <c r="I7" i="7"/>
  <c r="K7" i="7" s="1"/>
  <c r="F21" i="2"/>
  <c r="I9" i="7"/>
  <c r="K9" i="7" s="1"/>
  <c r="E7" i="2"/>
  <c r="C19" i="7"/>
  <c r="C20" i="7"/>
  <c r="D20" i="7"/>
  <c r="D19" i="7"/>
  <c r="F20" i="5"/>
  <c r="E20" i="5"/>
  <c r="H17" i="5"/>
  <c r="H20" i="5" s="1"/>
  <c r="D22" i="7"/>
  <c r="F22" i="7" s="1"/>
  <c r="H20" i="7" l="1"/>
  <c r="J20" i="7" s="1"/>
  <c r="E20" i="7"/>
  <c r="I20" i="7"/>
  <c r="K20" i="7" s="1"/>
  <c r="F20" i="7"/>
  <c r="H19" i="7"/>
  <c r="J19" i="7" s="1"/>
  <c r="E19" i="7"/>
  <c r="I19" i="7"/>
  <c r="K19" i="7" s="1"/>
  <c r="F19" i="7"/>
  <c r="L20" i="7"/>
  <c r="I17" i="5"/>
  <c r="D21" i="7"/>
  <c r="I22" i="7"/>
  <c r="K22" i="7" s="1"/>
  <c r="F24" i="2"/>
  <c r="F26" i="2" s="1"/>
  <c r="F27" i="2" s="1"/>
  <c r="I10" i="7"/>
  <c r="G19" i="7"/>
  <c r="L19" i="7" l="1"/>
  <c r="I21" i="7"/>
  <c r="K21" i="7" s="1"/>
  <c r="F21" i="7"/>
  <c r="F29" i="2"/>
  <c r="I12" i="7"/>
  <c r="K10" i="7"/>
  <c r="G24" i="5"/>
  <c r="F31" i="2"/>
  <c r="F33" i="2"/>
  <c r="F34" i="2"/>
  <c r="F30" i="2"/>
  <c r="F32" i="2"/>
  <c r="H13" i="5"/>
  <c r="I13" i="5" s="1"/>
  <c r="I13" i="7" l="1"/>
  <c r="K13" i="7" s="1"/>
  <c r="K12" i="7"/>
  <c r="C22" i="7"/>
  <c r="E22" i="7" s="1"/>
  <c r="D4" i="2"/>
  <c r="D7" i="2"/>
  <c r="D5" i="7" l="1"/>
  <c r="F5" i="7" s="1"/>
  <c r="C21" i="7"/>
  <c r="H22" i="7"/>
  <c r="D10" i="2"/>
  <c r="L28" i="7"/>
  <c r="G28" i="7"/>
  <c r="G22" i="7"/>
  <c r="G20" i="7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G27" i="5"/>
  <c r="F27" i="5"/>
  <c r="E27" i="5"/>
  <c r="D27" i="5"/>
  <c r="D5" i="5" s="1"/>
  <c r="D8" i="5" s="1"/>
  <c r="D15" i="5" s="1"/>
  <c r="C27" i="5"/>
  <c r="C5" i="5" s="1"/>
  <c r="G8" i="5"/>
  <c r="F8" i="5"/>
  <c r="F15" i="5" s="1"/>
  <c r="E8" i="5"/>
  <c r="E15" i="5" s="1"/>
  <c r="D46" i="3"/>
  <c r="D26" i="7" s="1"/>
  <c r="C26" i="7"/>
  <c r="D38" i="3"/>
  <c r="D25" i="7" s="1"/>
  <c r="C38" i="3"/>
  <c r="D28" i="3"/>
  <c r="D27" i="7" s="1"/>
  <c r="C27" i="7"/>
  <c r="C13" i="3"/>
  <c r="C18" i="7" s="1"/>
  <c r="D4" i="3"/>
  <c r="D17" i="7" s="1"/>
  <c r="C4" i="3"/>
  <c r="C17" i="7" s="1"/>
  <c r="C7" i="2"/>
  <c r="E4" i="2"/>
  <c r="C4" i="2"/>
  <c r="C5" i="7" s="1"/>
  <c r="E5" i="7" s="1"/>
  <c r="H18" i="7" l="1"/>
  <c r="E18" i="7"/>
  <c r="I25" i="7"/>
  <c r="K25" i="7" s="1"/>
  <c r="F25" i="7"/>
  <c r="H27" i="7"/>
  <c r="J27" i="7" s="1"/>
  <c r="E27" i="7"/>
  <c r="H26" i="7"/>
  <c r="J26" i="7" s="1"/>
  <c r="E26" i="7"/>
  <c r="L22" i="7"/>
  <c r="J22" i="7"/>
  <c r="I27" i="7"/>
  <c r="K27" i="7" s="1"/>
  <c r="F27" i="7"/>
  <c r="H21" i="7"/>
  <c r="E21" i="7"/>
  <c r="H17" i="7"/>
  <c r="J17" i="7" s="1"/>
  <c r="E17" i="7"/>
  <c r="I17" i="7"/>
  <c r="K17" i="7" s="1"/>
  <c r="F17" i="7"/>
  <c r="I26" i="7"/>
  <c r="K26" i="7" s="1"/>
  <c r="F26" i="7"/>
  <c r="G5" i="7"/>
  <c r="H5" i="5"/>
  <c r="D7" i="7"/>
  <c r="F7" i="7" s="1"/>
  <c r="D8" i="7"/>
  <c r="F8" i="7" s="1"/>
  <c r="H5" i="7"/>
  <c r="C25" i="7"/>
  <c r="E25" i="7" s="1"/>
  <c r="C56" i="3"/>
  <c r="C57" i="3" s="1"/>
  <c r="G26" i="7"/>
  <c r="G27" i="7"/>
  <c r="C16" i="7"/>
  <c r="E16" i="7" s="1"/>
  <c r="D24" i="7"/>
  <c r="G17" i="7"/>
  <c r="D17" i="2"/>
  <c r="E10" i="2"/>
  <c r="C24" i="3"/>
  <c r="C10" i="2"/>
  <c r="D56" i="3"/>
  <c r="D13" i="3"/>
  <c r="C8" i="5"/>
  <c r="C15" i="5" s="1"/>
  <c r="H27" i="5"/>
  <c r="I27" i="5" s="1"/>
  <c r="L27" i="7" l="1"/>
  <c r="L17" i="7"/>
  <c r="L21" i="7"/>
  <c r="J21" i="7"/>
  <c r="J18" i="7"/>
  <c r="H16" i="7"/>
  <c r="J16" i="7" s="1"/>
  <c r="L26" i="7"/>
  <c r="I24" i="7"/>
  <c r="K24" i="7" s="1"/>
  <c r="F24" i="7"/>
  <c r="C17" i="2"/>
  <c r="C21" i="2" s="1"/>
  <c r="L5" i="7"/>
  <c r="J5" i="7"/>
  <c r="D9" i="7"/>
  <c r="F9" i="7" s="1"/>
  <c r="G25" i="7"/>
  <c r="H25" i="7"/>
  <c r="C7" i="7"/>
  <c r="C8" i="7"/>
  <c r="E17" i="2"/>
  <c r="H8" i="7"/>
  <c r="H7" i="7"/>
  <c r="C24" i="7"/>
  <c r="E24" i="7" s="1"/>
  <c r="D24" i="3"/>
  <c r="D18" i="7"/>
  <c r="D21" i="2"/>
  <c r="D57" i="3"/>
  <c r="G21" i="7"/>
  <c r="H8" i="5"/>
  <c r="I5" i="5"/>
  <c r="I8" i="5" s="1"/>
  <c r="L25" i="7" l="1"/>
  <c r="J25" i="7"/>
  <c r="I18" i="7"/>
  <c r="F18" i="7"/>
  <c r="C26" i="2"/>
  <c r="C24" i="2"/>
  <c r="L7" i="7"/>
  <c r="J7" i="7"/>
  <c r="L8" i="7"/>
  <c r="J8" i="7"/>
  <c r="G7" i="7"/>
  <c r="E7" i="7"/>
  <c r="G8" i="7"/>
  <c r="E8" i="7"/>
  <c r="H24" i="7"/>
  <c r="E21" i="2"/>
  <c r="H9" i="7"/>
  <c r="J9" i="7" s="1"/>
  <c r="C9" i="7"/>
  <c r="D10" i="7"/>
  <c r="F10" i="7" s="1"/>
  <c r="D12" i="7"/>
  <c r="G24" i="7"/>
  <c r="G18" i="7"/>
  <c r="D16" i="7"/>
  <c r="F16" i="7" s="1"/>
  <c r="D24" i="2"/>
  <c r="E12" i="8"/>
  <c r="C12" i="8"/>
  <c r="F11" i="8"/>
  <c r="E11" i="8"/>
  <c r="D11" i="8"/>
  <c r="C11" i="8"/>
  <c r="F8" i="8"/>
  <c r="F6" i="8"/>
  <c r="D6" i="8"/>
  <c r="L18" i="7" l="1"/>
  <c r="K18" i="7"/>
  <c r="I16" i="7"/>
  <c r="K16" i="7" s="1"/>
  <c r="L24" i="7"/>
  <c r="J24" i="7"/>
  <c r="C6" i="8"/>
  <c r="E9" i="7"/>
  <c r="D13" i="7"/>
  <c r="F12" i="7"/>
  <c r="D26" i="2"/>
  <c r="D12" i="8"/>
  <c r="C12" i="7"/>
  <c r="E12" i="7" s="1"/>
  <c r="C10" i="7"/>
  <c r="H10" i="7"/>
  <c r="J10" i="7" s="1"/>
  <c r="E24" i="2"/>
  <c r="E26" i="2"/>
  <c r="E27" i="2" s="1"/>
  <c r="H11" i="7"/>
  <c r="J11" i="7" s="1"/>
  <c r="L9" i="7"/>
  <c r="C11" i="7"/>
  <c r="E11" i="7" s="1"/>
  <c r="G9" i="7"/>
  <c r="E6" i="8"/>
  <c r="D9" i="8"/>
  <c r="D10" i="8"/>
  <c r="G16" i="7"/>
  <c r="F4" i="4"/>
  <c r="F11" i="4" s="1"/>
  <c r="F13" i="4" s="1"/>
  <c r="D4" i="4"/>
  <c r="D11" i="4" s="1"/>
  <c r="D13" i="4" s="1"/>
  <c r="D27" i="2"/>
  <c r="E4" i="4" l="1"/>
  <c r="E11" i="4" s="1"/>
  <c r="E13" i="4" s="1"/>
  <c r="D8" i="8"/>
  <c r="F13" i="7"/>
  <c r="G10" i="7"/>
  <c r="E10" i="7"/>
  <c r="E30" i="2"/>
  <c r="E34" i="2"/>
  <c r="E31" i="2"/>
  <c r="E33" i="2"/>
  <c r="E29" i="2"/>
  <c r="E32" i="2"/>
  <c r="D31" i="2"/>
  <c r="D33" i="2"/>
  <c r="D34" i="2"/>
  <c r="D30" i="2"/>
  <c r="D29" i="2"/>
  <c r="D32" i="2"/>
  <c r="L16" i="7"/>
  <c r="F10" i="8"/>
  <c r="F12" i="8"/>
  <c r="F9" i="8"/>
  <c r="G12" i="5"/>
  <c r="G15" i="5" s="1"/>
  <c r="E7" i="8"/>
  <c r="H12" i="7"/>
  <c r="J12" i="7" s="1"/>
  <c r="L10" i="7"/>
  <c r="C4" i="4"/>
  <c r="C11" i="4" s="1"/>
  <c r="C13" i="4" s="1"/>
  <c r="C27" i="2"/>
  <c r="C7" i="8"/>
  <c r="H12" i="5"/>
  <c r="C13" i="7"/>
  <c r="E13" i="7" s="1"/>
  <c r="G12" i="7"/>
  <c r="C31" i="2" l="1"/>
  <c r="C29" i="2"/>
  <c r="C32" i="2"/>
  <c r="C34" i="2"/>
  <c r="C33" i="2"/>
  <c r="C30" i="2"/>
  <c r="G13" i="7"/>
  <c r="C10" i="8"/>
  <c r="C8" i="8"/>
  <c r="C9" i="8"/>
  <c r="H13" i="7"/>
  <c r="J13" i="7" s="1"/>
  <c r="L12" i="7"/>
  <c r="I12" i="5"/>
  <c r="I15" i="5" s="1"/>
  <c r="H15" i="5"/>
  <c r="L13" i="7" l="1"/>
  <c r="E8" i="8"/>
  <c r="E10" i="8"/>
  <c r="E9" i="8"/>
  <c r="I6" i="7"/>
  <c r="I11" i="7" l="1"/>
  <c r="F7" i="8" s="1"/>
  <c r="K6" i="7"/>
  <c r="L6" i="7"/>
  <c r="D6" i="7"/>
  <c r="F6" i="7" s="1"/>
  <c r="L11" i="7" l="1"/>
  <c r="K11" i="7"/>
  <c r="G6" i="7"/>
  <c r="D11" i="7"/>
  <c r="F11" i="7" s="1"/>
  <c r="D7" i="8" l="1"/>
  <c r="G11" i="7"/>
</calcChain>
</file>

<file path=xl/sharedStrings.xml><?xml version="1.0" encoding="utf-8"?>
<sst xmlns="http://schemas.openxmlformats.org/spreadsheetml/2006/main" count="261" uniqueCount="179">
  <si>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</si>
  <si>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</si>
  <si>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</si>
  <si>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</si>
  <si>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</si>
  <si>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</si>
  <si>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</si>
  <si>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</si>
  <si>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</si>
  <si>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</si>
  <si>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</si>
  <si>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</si>
  <si>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</si>
  <si>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</si>
  <si>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</si>
  <si>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</si>
  <si>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</si>
  <si>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</si>
  <si>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</si>
  <si>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</si>
  <si>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</si>
  <si>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</si>
  <si>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</si>
  <si>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Podstawowy za okres obrotowy</t>
  </si>
  <si>
    <t>Rozwodniony za okres obrotowy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</si>
  <si>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</si>
  <si>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</si>
  <si>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</si>
  <si>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</si>
  <si>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</si>
  <si>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</si>
  <si>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</si>
  <si>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</si>
  <si>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</si>
  <si>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</si>
  <si>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</si>
  <si>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</si>
  <si>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</si>
  <si>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</si>
  <si>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</si>
  <si>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</si>
  <si>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</si>
  <si>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</si>
  <si>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</si>
  <si>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</si>
  <si>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</si>
  <si>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</si>
  <si>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</si>
  <si>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</si>
  <si>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</si>
  <si>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</si>
  <si>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</si>
  <si>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</si>
  <si>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</si>
  <si>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Różnice kursowe z przeliczenia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</si>
  <si>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</si>
  <si>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</si>
  <si>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</si>
  <si>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</si>
  <si>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</si>
  <si>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</si>
  <si>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</si>
  <si>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</si>
  <si>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</si>
  <si>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</si>
  <si>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</si>
  <si>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</si>
  <si>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</si>
  <si>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</si>
  <si>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</si>
  <si>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</si>
  <si>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</si>
  <si>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</si>
  <si>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</si>
  <si>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</si>
  <si>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</si>
  <si>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</si>
  <si>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</si>
  <si>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</si>
  <si>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</si>
  <si>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</si>
  <si>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</si>
  <si>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</si>
  <si>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</si>
  <si>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</si>
  <si>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</si>
  <si>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</si>
  <si>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</si>
  <si>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</si>
  <si>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</si>
  <si>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</si>
  <si>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</si>
  <si>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Dynamika (PLN)</t>
  </si>
  <si>
    <t>2013 PLN</t>
  </si>
  <si>
    <t>2013 EUR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</si>
  <si>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</si>
  <si>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</si>
  <si>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</si>
  <si>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</si>
  <si>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</si>
  <si>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</si>
  <si>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</si>
  <si>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</si>
  <si>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</si>
  <si>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</si>
  <si>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</si>
  <si>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</si>
  <si>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</si>
  <si>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</si>
  <si>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</si>
  <si>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</si>
  <si>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3Q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</si>
  <si>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</si>
  <si>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</si>
  <si>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</si>
  <si>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</si>
  <si>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</si>
  <si>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</si>
  <si>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</si>
  <si>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</si>
  <si>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</si>
  <si>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(30.09.)</t>
  </si>
  <si>
    <t>1-3 Q</t>
  </si>
  <si>
    <t>F. Środki pieniężne na początek okresu</t>
  </si>
  <si>
    <t>A. DZIAŁALNOŚĆ OPERACYJNA</t>
  </si>
  <si>
    <t>B. DZIAŁALNOŚĆ INWESTYCYJNA</t>
  </si>
  <si>
    <t>I. Wpływy</t>
  </si>
  <si>
    <t>II. Wydatki</t>
  </si>
  <si>
    <t>C. DZIAŁALNOŚĆ FINANSOWA</t>
  </si>
  <si>
    <t>D. Przepływy pieniężne netto razem (A.III.+/–B.III+/–C.III)</t>
  </si>
  <si>
    <t>– o ograniczonej mozliwości dysponowania</t>
  </si>
  <si>
    <t>I. Zysk (strata) przed opodatkowaniem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</si>
  <si>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</si>
  <si>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</si>
  <si>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</si>
  <si>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</si>
  <si>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</si>
  <si>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</si>
  <si>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</si>
  <si>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</si>
  <si>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</si>
  <si>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</si>
  <si>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</si>
  <si>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</si>
  <si>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1. Zbycie wartości niematerialnych i prawnych oraz rzeczowych aktywów trwałych</t>
  </si>
  <si>
    <t>2. Zbycie inwestycji w nieruchomości oraz wartości niematerialne i prawne</t>
  </si>
  <si>
    <t>3. Z aktywów finansowych</t>
  </si>
  <si>
    <t>4. Inne wpływy inwestycyjne</t>
  </si>
  <si>
    <t>1. Nabycie wartości niematerialnych i prawnych oraz rzeczowych aktywów trwałych</t>
  </si>
  <si>
    <t>2. Inwestycje w nieruchomości oraz wartości niematerialane i prawne</t>
  </si>
  <si>
    <t>3. Na aktywa finansowe, w tym:</t>
  </si>
  <si>
    <t>4. Inne wydatki inwestycyjne</t>
  </si>
  <si>
    <t>III. Przepływy pieniężne netto z działalności inwestycyjnej (I–II)</t>
  </si>
  <si>
    <t>III. Przepływy pieniężne netto z działalności finansowej (I–II)</t>
  </si>
  <si>
    <t>E. Bilansowa zmiana stanu środków pieniężnych, w tym:</t>
  </si>
  <si>
    <t>– zmiana stanu środków pienięznych z tytułu różnic kursowych</t>
  </si>
  <si>
    <t>G. Środki pieniężne na koniec okresu (F+D), w tym</t>
  </si>
  <si>
    <t>*</t>
  </si>
  <si>
    <t>2014 PLN</t>
  </si>
  <si>
    <t>2014 EUR</t>
  </si>
  <si>
    <t>Kapitał własny na dzień  01.01.2014 r.</t>
  </si>
  <si>
    <t>Kapitał własny na dzień  01.01.2013 r.</t>
  </si>
  <si>
    <t>za okres 01.07.2014 - 30.09.2014</t>
  </si>
  <si>
    <t>za okres 01.07.2013 - 30.09.2013</t>
  </si>
  <si>
    <t>za okres 01.01.2014 - 30.09.2014</t>
  </si>
  <si>
    <t>za okres 01.01.2013 - 30.09.2013</t>
  </si>
  <si>
    <t>stan na 30.09.2014 r.</t>
  </si>
  <si>
    <t>stan na 30.09.2013 r.</t>
  </si>
  <si>
    <t>dziewięć miesięcy zakończonych - 30.09.2014 r.</t>
  </si>
  <si>
    <t>Kapitał własny na dzień  30.09.2014 r.</t>
  </si>
  <si>
    <t>dziewięć miesięcy zakończonych - 30.09.2013 r.</t>
  </si>
  <si>
    <t>Kapitał własny na dzień  30.09.2013 r.</t>
  </si>
  <si>
    <t>30.09</t>
  </si>
  <si>
    <t>Zysk (strata) netto należny udziałowcom jednostki dominującej</t>
  </si>
  <si>
    <t>Zysk (strata) netto na jeden udział (w zł)</t>
  </si>
  <si>
    <t>Zysk (strata) netto na jeden udział z działalności kontynuowanej (w zł)</t>
  </si>
  <si>
    <t>Zysk (strata) netto na jeden udział z działalności zaniechanej (w zł)</t>
  </si>
  <si>
    <t>Suma dochodów całkowitych przypisana udziałowcom niekontrolującym</t>
  </si>
  <si>
    <t>Wartość księgowa na 1 udział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</si>
</sst>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0"/>
    <numFmt numFmtId="165" formatCode="#,##0.0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rgb="FFC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indexed="64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/>
      <right style="thin">
        <color indexed="64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indexed="64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double">
        <color rgb="FF808080"/>
      </bottom>
      <diagonal/>
    </border>
    <border>
      <left style="thin">
        <color theme="0" tint="-0.499984740745262"/>
      </left>
      <right style="double">
        <color rgb="FF808080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4" borderId="2" xfId="2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9" fontId="3" fillId="4" borderId="2" xfId="2" applyNumberFormat="1" applyFont="1" applyFill="1" applyBorder="1" applyAlignment="1">
      <alignment horizontal="left" vertical="center" wrapText="1"/>
    </xf>
    <xf numFmtId="49" fontId="3" fillId="4" borderId="5" xfId="2" applyNumberFormat="1" applyFont="1" applyFill="1" applyBorder="1" applyAlignment="1">
      <alignment horizontal="left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49" fontId="3" fillId="5" borderId="2" xfId="2" applyNumberFormat="1" applyFont="1" applyFill="1" applyBorder="1" applyAlignment="1">
      <alignment vertical="center" wrapText="1"/>
    </xf>
    <xf numFmtId="0" fontId="3" fillId="5" borderId="2" xfId="0" applyFont="1" applyFill="1" applyBorder="1"/>
    <xf numFmtId="49" fontId="3" fillId="5" borderId="5" xfId="2" applyNumberFormat="1" applyFont="1" applyFill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2" applyFont="1" applyBorder="1"/>
    <xf numFmtId="0" fontId="4" fillId="4" borderId="5" xfId="2" applyFont="1" applyFill="1" applyBorder="1"/>
    <xf numFmtId="0" fontId="3" fillId="2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3" fillId="5" borderId="2" xfId="0" applyNumberFormat="1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 vertical="top"/>
    </xf>
    <xf numFmtId="0" fontId="4" fillId="0" borderId="5" xfId="2" applyFont="1" applyBorder="1"/>
    <xf numFmtId="0" fontId="6" fillId="6" borderId="21" xfId="0" applyFont="1" applyFill="1" applyBorder="1" applyAlignment="1">
      <alignment horizontal="justify" vertical="center"/>
    </xf>
    <xf numFmtId="10" fontId="7" fillId="6" borderId="22" xfId="0" applyNumberFormat="1" applyFont="1" applyFill="1" applyBorder="1" applyAlignment="1">
      <alignment horizontal="center" vertical="center"/>
    </xf>
    <xf numFmtId="10" fontId="9" fillId="6" borderId="28" xfId="0" applyNumberFormat="1" applyFont="1" applyFill="1" applyBorder="1" applyAlignment="1">
      <alignment horizontal="center" vertical="center"/>
    </xf>
    <xf numFmtId="10" fontId="9" fillId="6" borderId="25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justify" vertical="center"/>
    </xf>
    <xf numFmtId="10" fontId="7" fillId="0" borderId="22" xfId="0" applyNumberFormat="1" applyFont="1" applyFill="1" applyBorder="1" applyAlignment="1">
      <alignment horizontal="center" vertical="center"/>
    </xf>
    <xf numFmtId="10" fontId="9" fillId="0" borderId="28" xfId="0" applyNumberFormat="1" applyFont="1" applyFill="1" applyBorder="1" applyAlignment="1">
      <alignment horizontal="center" vertical="center"/>
    </xf>
    <xf numFmtId="10" fontId="9" fillId="0" borderId="25" xfId="0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justify"/>
    </xf>
    <xf numFmtId="0" fontId="6" fillId="7" borderId="29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4" fontId="0" fillId="0" borderId="0" xfId="0" applyNumberFormat="1"/>
    <xf numFmtId="0" fontId="4" fillId="0" borderId="36" xfId="3" applyFont="1" applyFill="1" applyBorder="1" applyAlignment="1">
      <alignment horizontal="left" vertical="center" wrapText="1" indent="8"/>
    </xf>
    <xf numFmtId="49" fontId="3" fillId="0" borderId="44" xfId="2" applyNumberFormat="1" applyFont="1" applyFill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/>
    <xf numFmtId="0" fontId="11" fillId="8" borderId="30" xfId="0" applyFont="1" applyFill="1" applyBorder="1"/>
    <xf numFmtId="0" fontId="3" fillId="5" borderId="33" xfId="3" applyFont="1" applyFill="1" applyBorder="1" applyAlignment="1">
      <alignment horizontal="left" vertical="center" wrapText="1"/>
    </xf>
    <xf numFmtId="0" fontId="3" fillId="0" borderId="33" xfId="3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4" fillId="0" borderId="33" xfId="3" applyFont="1" applyFill="1" applyBorder="1" applyAlignment="1">
      <alignment horizontal="left" vertical="center" wrapText="1" indent="4"/>
    </xf>
    <xf numFmtId="0" fontId="13" fillId="0" borderId="0" xfId="0" applyFont="1" applyFill="1" applyBorder="1" applyAlignment="1">
      <alignment horizontal="center" vertical="top"/>
    </xf>
    <xf numFmtId="0" fontId="3" fillId="5" borderId="33" xfId="3" applyFont="1" applyFill="1" applyBorder="1" applyAlignment="1">
      <alignment vertical="center" wrapText="1"/>
    </xf>
    <xf numFmtId="0" fontId="4" fillId="0" borderId="33" xfId="3" applyFont="1" applyFill="1" applyBorder="1" applyAlignment="1">
      <alignment horizontal="left" vertical="center" wrapText="1" indent="8"/>
    </xf>
    <xf numFmtId="0" fontId="14" fillId="0" borderId="0" xfId="0" applyFont="1"/>
    <xf numFmtId="4" fontId="14" fillId="0" borderId="0" xfId="0" applyNumberFormat="1" applyFont="1"/>
    <xf numFmtId="0" fontId="3" fillId="2" borderId="43" xfId="2" applyFont="1" applyFill="1" applyBorder="1" applyAlignment="1">
      <alignment horizontal="center" vertical="center" wrapText="1"/>
    </xf>
    <xf numFmtId="0" fontId="3" fillId="3" borderId="16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49" fontId="3" fillId="2" borderId="8" xfId="2" applyNumberFormat="1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3" fillId="2" borderId="8" xfId="2" applyFont="1" applyFill="1" applyBorder="1" applyAlignment="1">
      <alignment horizontal="center" vertical="center" wrapText="1"/>
    </xf>
    <xf numFmtId="4" fontId="3" fillId="5" borderId="46" xfId="0" applyNumberFormat="1" applyFont="1" applyFill="1" applyBorder="1" applyAlignment="1" applyProtection="1">
      <alignment horizontal="left" vertical="center" wrapText="1"/>
    </xf>
    <xf numFmtId="4" fontId="3" fillId="4" borderId="9" xfId="2" applyNumberFormat="1" applyFont="1" applyFill="1" applyBorder="1" applyAlignment="1">
      <alignment horizontal="right" vertical="center" wrapText="1"/>
    </xf>
    <xf numFmtId="4" fontId="4" fillId="0" borderId="4" xfId="2" applyNumberFormat="1" applyFont="1" applyFill="1" applyBorder="1" applyAlignment="1">
      <alignment horizontal="right"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" fontId="3" fillId="0" borderId="4" xfId="2" applyNumberFormat="1" applyFont="1" applyFill="1" applyBorder="1" applyAlignment="1">
      <alignment horizontal="right" vertical="center" wrapText="1"/>
    </xf>
    <xf numFmtId="4" fontId="3" fillId="4" borderId="7" xfId="2" applyNumberFormat="1" applyFont="1" applyFill="1" applyBorder="1" applyAlignment="1" applyProtection="1">
      <alignment horizontal="right" vertical="center" wrapText="1"/>
      <protection locked="0"/>
    </xf>
    <xf numFmtId="4" fontId="5" fillId="4" borderId="10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/>
    </xf>
    <xf numFmtId="4" fontId="5" fillId="4" borderId="7" xfId="2" applyNumberFormat="1" applyFont="1" applyFill="1" applyBorder="1" applyAlignment="1">
      <alignment horizontal="right" vertical="center" wrapText="1"/>
    </xf>
    <xf numFmtId="4" fontId="5" fillId="4" borderId="4" xfId="2" applyNumberFormat="1" applyFont="1" applyFill="1" applyBorder="1" applyAlignment="1">
      <alignment horizontal="right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4" fontId="5" fillId="4" borderId="3" xfId="2" applyNumberFormat="1" applyFont="1" applyFill="1" applyBorder="1" applyAlignment="1">
      <alignment horizontal="right" vertical="center" wrapText="1"/>
    </xf>
    <xf numFmtId="4" fontId="3" fillId="5" borderId="4" xfId="2" applyNumberFormat="1" applyFont="1" applyFill="1" applyBorder="1" applyAlignment="1">
      <alignment horizontal="right" vertical="center" wrapText="1"/>
    </xf>
    <xf numFmtId="4" fontId="3" fillId="5" borderId="7" xfId="2" applyNumberFormat="1" applyFont="1" applyFill="1" applyBorder="1" applyAlignment="1">
      <alignment horizontal="right" vertical="center" wrapText="1"/>
    </xf>
    <xf numFmtId="4" fontId="3" fillId="5" borderId="4" xfId="2" applyNumberFormat="1" applyFont="1" applyFill="1" applyBorder="1" applyAlignment="1">
      <alignment vertical="center" wrapText="1"/>
    </xf>
    <xf numFmtId="4" fontId="4" fillId="0" borderId="4" xfId="2" applyNumberFormat="1" applyFont="1" applyFill="1" applyBorder="1" applyAlignment="1">
      <alignment vertical="center" wrapText="1"/>
    </xf>
    <xf numFmtId="4" fontId="3" fillId="5" borderId="3" xfId="0" applyNumberFormat="1" applyFont="1" applyFill="1" applyBorder="1" applyAlignment="1" applyProtection="1">
      <alignment horizontal="right" vertical="center"/>
    </xf>
    <xf numFmtId="4" fontId="3" fillId="5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3" fillId="5" borderId="6" xfId="0" applyNumberFormat="1" applyFont="1" applyFill="1" applyBorder="1" applyAlignment="1" applyProtection="1">
      <alignment horizontal="right" vertical="center"/>
    </xf>
    <xf numFmtId="4" fontId="3" fillId="5" borderId="7" xfId="0" applyNumberFormat="1" applyFont="1" applyFill="1" applyBorder="1" applyAlignment="1" applyProtection="1">
      <alignment horizontal="right" vertical="center"/>
    </xf>
    <xf numFmtId="4" fontId="7" fillId="0" borderId="21" xfId="0" applyNumberFormat="1" applyFont="1" applyFill="1" applyBorder="1" applyAlignment="1">
      <alignment horizontal="right" vertical="center"/>
    </xf>
    <xf numFmtId="4" fontId="7" fillId="0" borderId="25" xfId="0" applyNumberFormat="1" applyFont="1" applyFill="1" applyBorder="1" applyAlignment="1">
      <alignment horizontal="right" vertical="center"/>
    </xf>
    <xf numFmtId="4" fontId="7" fillId="6" borderId="21" xfId="0" applyNumberFormat="1" applyFont="1" applyFill="1" applyBorder="1" applyAlignment="1">
      <alignment horizontal="right"/>
    </xf>
    <xf numFmtId="4" fontId="7" fillId="0" borderId="21" xfId="0" applyNumberFormat="1" applyFont="1" applyFill="1" applyBorder="1" applyAlignment="1">
      <alignment horizontal="right"/>
    </xf>
    <xf numFmtId="4" fontId="3" fillId="4" borderId="8" xfId="2" applyNumberFormat="1" applyFont="1" applyFill="1" applyBorder="1" applyAlignment="1">
      <alignment horizontal="right" vertical="center" wrapText="1"/>
    </xf>
    <xf numFmtId="4" fontId="3" fillId="4" borderId="3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Fill="1" applyBorder="1" applyAlignment="1">
      <alignment horizontal="right" vertical="center" wrapText="1"/>
    </xf>
    <xf numFmtId="4" fontId="3" fillId="0" borderId="3" xfId="2" applyNumberFormat="1" applyFont="1" applyFill="1" applyBorder="1" applyAlignment="1">
      <alignment horizontal="right" vertical="center" wrapText="1"/>
    </xf>
    <xf numFmtId="4" fontId="3" fillId="4" borderId="6" xfId="2" applyNumberFormat="1" applyFont="1" applyFill="1" applyBorder="1" applyAlignment="1" applyProtection="1">
      <alignment horizontal="right" vertical="center" wrapText="1"/>
      <protection locked="0"/>
    </xf>
    <xf numFmtId="4" fontId="5" fillId="4" borderId="6" xfId="2" applyNumberFormat="1" applyFont="1" applyFill="1" applyBorder="1" applyAlignment="1">
      <alignment horizontal="right" vertical="center" wrapText="1"/>
    </xf>
    <xf numFmtId="4" fontId="3" fillId="5" borderId="3" xfId="2" applyNumberFormat="1" applyFont="1" applyFill="1" applyBorder="1" applyAlignment="1">
      <alignment horizontal="right" vertical="center" wrapText="1"/>
    </xf>
    <xf numFmtId="4" fontId="3" fillId="5" borderId="6" xfId="2" applyNumberFormat="1" applyFont="1" applyFill="1" applyBorder="1" applyAlignment="1">
      <alignment horizontal="right" vertical="center" wrapText="1"/>
    </xf>
    <xf numFmtId="4" fontId="3" fillId="5" borderId="3" xfId="2" applyNumberFormat="1" applyFont="1" applyFill="1" applyBorder="1" applyAlignment="1">
      <alignment vertical="center" wrapText="1"/>
    </xf>
    <xf numFmtId="4" fontId="4" fillId="0" borderId="3" xfId="2" applyNumberFormat="1" applyFont="1" applyFill="1" applyBorder="1" applyAlignment="1">
      <alignment vertical="center" wrapText="1"/>
    </xf>
    <xf numFmtId="2" fontId="7" fillId="0" borderId="20" xfId="1" applyNumberFormat="1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center" vertical="center"/>
    </xf>
    <xf numFmtId="4" fontId="7" fillId="6" borderId="20" xfId="0" applyNumberFormat="1" applyFont="1" applyFill="1" applyBorder="1" applyAlignment="1">
      <alignment horizontal="center" wrapText="1"/>
    </xf>
    <xf numFmtId="4" fontId="7" fillId="6" borderId="21" xfId="0" applyNumberFormat="1" applyFont="1" applyFill="1" applyBorder="1" applyAlignment="1">
      <alignment horizontal="center" wrapText="1"/>
    </xf>
    <xf numFmtId="4" fontId="7" fillId="9" borderId="20" xfId="0" applyNumberFormat="1" applyFont="1" applyFill="1" applyBorder="1" applyAlignment="1">
      <alignment horizontal="center" wrapText="1"/>
    </xf>
    <xf numFmtId="0" fontId="8" fillId="10" borderId="12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/>
    </xf>
    <xf numFmtId="0" fontId="8" fillId="10" borderId="14" xfId="0" applyFont="1" applyFill="1" applyBorder="1" applyAlignment="1">
      <alignment horizontal="center"/>
    </xf>
    <xf numFmtId="0" fontId="6" fillId="10" borderId="27" xfId="0" applyFont="1" applyFill="1" applyBorder="1" applyAlignment="1">
      <alignment horizontal="center" vertical="top"/>
    </xf>
    <xf numFmtId="0" fontId="6" fillId="10" borderId="24" xfId="0" applyFont="1" applyFill="1" applyBorder="1" applyAlignment="1">
      <alignment horizontal="center" vertical="top"/>
    </xf>
    <xf numFmtId="0" fontId="8" fillId="11" borderId="26" xfId="0" applyFont="1" applyFill="1" applyBorder="1" applyAlignment="1">
      <alignment horizontal="center"/>
    </xf>
    <xf numFmtId="0" fontId="8" fillId="11" borderId="23" xfId="0" applyFont="1" applyFill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3" fillId="2" borderId="0" xfId="2" applyFont="1" applyFill="1" applyBorder="1" applyAlignment="1">
      <alignment horizontal="center" vertical="center" wrapText="1"/>
    </xf>
    <xf numFmtId="0" fontId="15" fillId="0" borderId="0" xfId="0" applyFont="1"/>
    <xf numFmtId="4" fontId="4" fillId="0" borderId="6" xfId="2" applyNumberFormat="1" applyFont="1" applyFill="1" applyBorder="1"/>
    <xf numFmtId="4" fontId="4" fillId="0" borderId="7" xfId="2" applyNumberFormat="1" applyFont="1" applyFill="1" applyBorder="1"/>
    <xf numFmtId="4" fontId="14" fillId="0" borderId="0" xfId="0" applyNumberFormat="1" applyFont="1" applyFill="1"/>
    <xf numFmtId="43" fontId="14" fillId="0" borderId="0" xfId="4" applyFont="1" applyAlignment="1">
      <alignment horizontal="center"/>
    </xf>
    <xf numFmtId="0" fontId="0" fillId="0" borderId="0" xfId="0" applyBorder="1"/>
    <xf numFmtId="0" fontId="12" fillId="0" borderId="0" xfId="0" applyFont="1" applyBorder="1"/>
    <xf numFmtId="0" fontId="14" fillId="0" borderId="0" xfId="0" applyFont="1" applyBorder="1"/>
    <xf numFmtId="4" fontId="0" fillId="0" borderId="0" xfId="0" applyNumberFormat="1" applyBorder="1"/>
    <xf numFmtId="49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right" vertical="center" wrapText="1"/>
    </xf>
    <xf numFmtId="49" fontId="4" fillId="0" borderId="0" xfId="2" applyNumberFormat="1" applyFont="1" applyFill="1" applyBorder="1" applyAlignment="1">
      <alignment vertical="center" wrapText="1"/>
    </xf>
    <xf numFmtId="49" fontId="3" fillId="0" borderId="0" xfId="2" applyNumberFormat="1" applyFont="1" applyFill="1" applyBorder="1" applyAlignment="1">
      <alignment horizontal="left" vertical="center" wrapText="1"/>
    </xf>
    <xf numFmtId="4" fontId="3" fillId="0" borderId="0" xfId="2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15" fillId="0" borderId="0" xfId="0" applyFont="1" applyFill="1" applyBorder="1"/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vertical="center" wrapText="1"/>
    </xf>
    <xf numFmtId="165" fontId="0" fillId="0" borderId="0" xfId="0" applyNumberFormat="1" applyFill="1" applyBorder="1"/>
    <xf numFmtId="4" fontId="0" fillId="0" borderId="0" xfId="0" applyNumberFormat="1" applyFill="1" applyBorder="1"/>
    <xf numFmtId="0" fontId="3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wrapText="1"/>
    </xf>
    <xf numFmtId="4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3" fillId="2" borderId="49" xfId="2" applyFont="1" applyFill="1" applyBorder="1" applyAlignment="1">
      <alignment horizontal="center" vertical="center" wrapText="1"/>
    </xf>
    <xf numFmtId="4" fontId="3" fillId="4" borderId="50" xfId="2" applyNumberFormat="1" applyFont="1" applyFill="1" applyBorder="1" applyAlignment="1">
      <alignment horizontal="right" vertical="center" wrapText="1"/>
    </xf>
    <xf numFmtId="4" fontId="4" fillId="0" borderId="51" xfId="2" applyNumberFormat="1" applyFont="1" applyFill="1" applyBorder="1" applyAlignment="1">
      <alignment horizontal="right" vertical="center" wrapText="1"/>
    </xf>
    <xf numFmtId="4" fontId="3" fillId="4" borderId="51" xfId="2" applyNumberFormat="1" applyFont="1" applyFill="1" applyBorder="1" applyAlignment="1">
      <alignment horizontal="right" vertical="center" wrapText="1"/>
    </xf>
    <xf numFmtId="4" fontId="3" fillId="0" borderId="51" xfId="2" applyNumberFormat="1" applyFont="1" applyFill="1" applyBorder="1" applyAlignment="1">
      <alignment horizontal="right" vertical="center" wrapText="1"/>
    </xf>
    <xf numFmtId="4" fontId="3" fillId="4" borderId="52" xfId="2" applyNumberFormat="1" applyFont="1" applyFill="1" applyBorder="1" applyAlignment="1" applyProtection="1">
      <alignment horizontal="right" vertical="center" wrapText="1"/>
      <protection locked="0"/>
    </xf>
    <xf numFmtId="2" fontId="3" fillId="5" borderId="45" xfId="3" applyNumberFormat="1" applyFont="1" applyFill="1" applyBorder="1" applyAlignment="1">
      <alignment horizontal="center" vertical="center" wrapText="1"/>
    </xf>
    <xf numFmtId="2" fontId="4" fillId="5" borderId="16" xfId="4" applyNumberFormat="1" applyFont="1" applyFill="1" applyBorder="1" applyAlignment="1">
      <alignment horizontal="center"/>
    </xf>
    <xf numFmtId="2" fontId="3" fillId="0" borderId="45" xfId="4" applyNumberFormat="1" applyFont="1" applyFill="1" applyBorder="1" applyAlignment="1">
      <alignment horizontal="center" vertical="center" wrapText="1"/>
    </xf>
    <xf numFmtId="2" fontId="3" fillId="0" borderId="35" xfId="4" applyNumberFormat="1" applyFont="1" applyBorder="1" applyAlignment="1">
      <alignment horizontal="center" vertical="center"/>
    </xf>
    <xf numFmtId="2" fontId="4" fillId="0" borderId="45" xfId="4" applyNumberFormat="1" applyFont="1" applyFill="1" applyBorder="1" applyAlignment="1">
      <alignment horizontal="center" vertical="center" wrapText="1"/>
    </xf>
    <xf numFmtId="2" fontId="4" fillId="0" borderId="35" xfId="4" applyNumberFormat="1" applyFont="1" applyBorder="1" applyAlignment="1">
      <alignment horizontal="center" vertical="center"/>
    </xf>
    <xf numFmtId="2" fontId="3" fillId="5" borderId="45" xfId="4" applyNumberFormat="1" applyFont="1" applyFill="1" applyBorder="1" applyAlignment="1">
      <alignment horizontal="center" vertical="center" wrapText="1"/>
    </xf>
    <xf numFmtId="2" fontId="3" fillId="5" borderId="35" xfId="4" applyNumberFormat="1" applyFont="1" applyFill="1" applyBorder="1" applyAlignment="1">
      <alignment horizontal="center" vertical="center"/>
    </xf>
    <xf numFmtId="2" fontId="4" fillId="0" borderId="39" xfId="4" applyNumberFormat="1" applyFont="1" applyFill="1" applyBorder="1" applyAlignment="1">
      <alignment horizontal="center" vertical="center" wrapText="1"/>
    </xf>
    <xf numFmtId="2" fontId="4" fillId="0" borderId="47" xfId="4" applyNumberFormat="1" applyFont="1" applyBorder="1" applyAlignment="1">
      <alignment horizontal="center" vertical="center"/>
    </xf>
    <xf numFmtId="2" fontId="4" fillId="5" borderId="35" xfId="0" applyNumberFormat="1" applyFont="1" applyFill="1" applyBorder="1" applyAlignment="1">
      <alignment horizontal="center"/>
    </xf>
    <xf numFmtId="2" fontId="4" fillId="5" borderId="35" xfId="4" applyNumberFormat="1" applyFont="1" applyFill="1" applyBorder="1" applyAlignment="1">
      <alignment horizontal="center" vertical="center"/>
    </xf>
    <xf numFmtId="2" fontId="4" fillId="5" borderId="35" xfId="4" applyNumberFormat="1" applyFont="1" applyFill="1" applyBorder="1" applyAlignment="1">
      <alignment horizontal="center"/>
    </xf>
    <xf numFmtId="0" fontId="6" fillId="9" borderId="21" xfId="0" applyFont="1" applyFill="1" applyBorder="1" applyAlignment="1">
      <alignment horizontal="left" vertical="center"/>
    </xf>
    <xf numFmtId="4" fontId="7" fillId="9" borderId="21" xfId="0" applyNumberFormat="1" applyFont="1" applyFill="1" applyBorder="1" applyAlignment="1">
      <alignment horizontal="right" vertical="center"/>
    </xf>
    <xf numFmtId="4" fontId="7" fillId="9" borderId="25" xfId="0" applyNumberFormat="1" applyFont="1" applyFill="1" applyBorder="1" applyAlignment="1">
      <alignment horizontal="right" vertical="center"/>
    </xf>
    <xf numFmtId="2" fontId="7" fillId="9" borderId="20" xfId="1" applyNumberFormat="1" applyFont="1" applyFill="1" applyBorder="1" applyAlignment="1">
      <alignment horizontal="center" vertical="center"/>
    </xf>
    <xf numFmtId="4" fontId="7" fillId="9" borderId="21" xfId="0" applyNumberFormat="1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left" vertical="center"/>
    </xf>
    <xf numFmtId="4" fontId="7" fillId="12" borderId="21" xfId="0" applyNumberFormat="1" applyFont="1" applyFill="1" applyBorder="1" applyAlignment="1">
      <alignment horizontal="right" vertical="center"/>
    </xf>
    <xf numFmtId="4" fontId="7" fillId="12" borderId="25" xfId="0" applyNumberFormat="1" applyFont="1" applyFill="1" applyBorder="1" applyAlignment="1">
      <alignment horizontal="right" vertical="center"/>
    </xf>
    <xf numFmtId="2" fontId="7" fillId="12" borderId="20" xfId="1" applyNumberFormat="1" applyFont="1" applyFill="1" applyBorder="1" applyAlignment="1">
      <alignment horizontal="center" vertical="center"/>
    </xf>
    <xf numFmtId="4" fontId="7" fillId="12" borderId="21" xfId="0" applyNumberFormat="1" applyFont="1" applyFill="1" applyBorder="1" applyAlignment="1">
      <alignment horizontal="center" vertical="center"/>
    </xf>
    <xf numFmtId="4" fontId="7" fillId="9" borderId="21" xfId="0" applyNumberFormat="1" applyFont="1" applyFill="1" applyBorder="1" applyAlignment="1">
      <alignment horizontal="right"/>
    </xf>
    <xf numFmtId="4" fontId="7" fillId="9" borderId="21" xfId="0" applyNumberFormat="1" applyFont="1" applyFill="1" applyBorder="1" applyAlignment="1">
      <alignment horizontal="center" wrapText="1"/>
    </xf>
    <xf numFmtId="0" fontId="6" fillId="9" borderId="21" xfId="0" applyFont="1" applyFill="1" applyBorder="1" applyAlignment="1">
      <alignment horizontal="justify" vertical="center"/>
    </xf>
    <xf numFmtId="10" fontId="7" fillId="9" borderId="22" xfId="0" applyNumberFormat="1" applyFont="1" applyFill="1" applyBorder="1" applyAlignment="1">
      <alignment horizontal="center" vertical="center"/>
    </xf>
    <xf numFmtId="10" fontId="9" fillId="9" borderId="28" xfId="0" applyNumberFormat="1" applyFont="1" applyFill="1" applyBorder="1" applyAlignment="1">
      <alignment horizontal="center" vertical="center"/>
    </xf>
    <xf numFmtId="10" fontId="9" fillId="9" borderId="25" xfId="0" applyNumberFormat="1" applyFont="1" applyFill="1" applyBorder="1" applyAlignment="1">
      <alignment horizontal="center" vertical="center"/>
    </xf>
    <xf numFmtId="2" fontId="3" fillId="2" borderId="53" xfId="2" applyNumberFormat="1" applyFont="1" applyFill="1" applyBorder="1" applyAlignment="1">
      <alignment horizontal="center" vertical="center" wrapText="1"/>
    </xf>
    <xf numFmtId="2" fontId="3" fillId="2" borderId="29" xfId="4" applyNumberFormat="1" applyFont="1" applyFill="1" applyBorder="1" applyAlignment="1">
      <alignment horizontal="center" vertical="center" wrapText="1"/>
    </xf>
    <xf numFmtId="2" fontId="3" fillId="3" borderId="29" xfId="2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164" fontId="10" fillId="0" borderId="38" xfId="0" applyNumberFormat="1" applyFont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/>
    </xf>
    <xf numFmtId="164" fontId="10" fillId="0" borderId="35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6" fillId="0" borderId="19" xfId="0" applyFont="1" applyFill="1" applyBorder="1" applyAlignment="1">
      <alignment horizontal="justify"/>
    </xf>
    <xf numFmtId="0" fontId="6" fillId="0" borderId="22" xfId="0" applyFont="1" applyFill="1" applyBorder="1" applyAlignment="1">
      <alignment horizontal="justify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justify" vertical="top"/>
    </xf>
    <xf numFmtId="0" fontId="6" fillId="0" borderId="22" xfId="0" applyFont="1" applyFill="1" applyBorder="1" applyAlignment="1">
      <alignment horizontal="justify" vertical="top"/>
    </xf>
    <xf numFmtId="0" fontId="6" fillId="0" borderId="30" xfId="0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/>
    </xf>
  </cellXfs>
  <cellStyles count="6">
    <cellStyle name="Dziesiętny" xfId="4" builtinId="3"/>
    <cellStyle name="Dziesiętny 2" xfId="5"/>
    <cellStyle name="Normalny" xfId="0" builtinId="0"/>
    <cellStyle name="Normalny_bilans_przekształceń" xfId="2"/>
    <cellStyle name="Normalny_Skonsolidowane sprawozdanie finansowe" xfId="3"/>
    <cellStyle name="Procentowy" xfId="1" builtinId="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topLeftCell="A4" workbookViewId="0">
      <selection activeCell="K14" sqref="K14"/>
    </sheetView>
  </sheetViews>
  <sheetFormatPr defaultRowHeight="15" x14ac:dyDescent="0.25"/>
  <cols>
    <col min="1" max="1" width="4.140625" customWidth="1"/>
    <col min="2" max="2" width="49.7109375" customWidth="1"/>
    <col min="3" max="4" width="9.7109375" style="56" bestFit="1" customWidth="1"/>
    <col min="5" max="5" width="12.140625" style="46" customWidth="1"/>
    <col min="6" max="6" width="12" style="56" customWidth="1"/>
    <col min="8" max="8" width="9.85546875" bestFit="1" customWidth="1"/>
    <col min="9" max="9" width="10.140625" bestFit="1" customWidth="1"/>
    <col min="10" max="10" width="4.85546875" customWidth="1"/>
    <col min="11" max="11" width="28.140625" customWidth="1"/>
    <col min="12" max="12" width="9.7109375" customWidth="1"/>
    <col min="13" max="13" width="9.7109375" bestFit="1" customWidth="1"/>
    <col min="14" max="14" width="9.7109375" style="46" bestFit="1" customWidth="1"/>
    <col min="15" max="15" width="9.7109375" style="56" bestFit="1" customWidth="1"/>
    <col min="16" max="16" width="10.85546875" style="46" bestFit="1" customWidth="1"/>
    <col min="17" max="17" width="12" style="56" customWidth="1"/>
  </cols>
  <sheetData>
    <row r="1" spans="2:21" ht="15.75" thickBot="1" x14ac:dyDescent="0.3">
      <c r="G1" s="120"/>
      <c r="H1" s="120"/>
      <c r="I1" s="120"/>
      <c r="J1" s="120"/>
      <c r="K1" s="120"/>
      <c r="L1" s="120"/>
      <c r="M1" s="120"/>
      <c r="N1" s="121"/>
      <c r="O1" s="122"/>
      <c r="P1" s="121"/>
      <c r="Q1" s="122"/>
      <c r="R1" s="120"/>
      <c r="S1" s="120"/>
      <c r="T1" s="120"/>
      <c r="U1" s="120"/>
    </row>
    <row r="2" spans="2:21" ht="16.5" thickTop="1" thickBot="1" x14ac:dyDescent="0.3">
      <c r="C2" s="182" t="s">
        <v>25</v>
      </c>
      <c r="D2" s="183"/>
      <c r="E2" s="183"/>
      <c r="F2" s="184"/>
      <c r="G2" s="129"/>
      <c r="H2" s="129"/>
      <c r="I2" s="129"/>
      <c r="J2" s="129"/>
      <c r="K2" s="130"/>
      <c r="L2" s="185"/>
      <c r="M2" s="185"/>
      <c r="N2" s="129"/>
      <c r="O2" s="129"/>
      <c r="P2" s="129"/>
      <c r="Q2" s="129"/>
      <c r="R2" s="120"/>
      <c r="S2" s="120"/>
      <c r="T2" s="120"/>
      <c r="U2" s="120"/>
    </row>
    <row r="3" spans="2:21" ht="34.5" thickTop="1" x14ac:dyDescent="0.25">
      <c r="B3" s="11"/>
      <c r="C3" s="59" t="s">
        <v>162</v>
      </c>
      <c r="D3" s="59" t="s">
        <v>163</v>
      </c>
      <c r="E3" s="60" t="s">
        <v>164</v>
      </c>
      <c r="F3" s="138" t="s">
        <v>165</v>
      </c>
      <c r="G3" s="129"/>
      <c r="H3" s="129"/>
      <c r="I3" s="129"/>
      <c r="J3" s="129"/>
      <c r="K3" s="131"/>
      <c r="L3" s="131"/>
      <c r="M3" s="131"/>
      <c r="N3" s="131"/>
      <c r="O3" s="131"/>
      <c r="P3" s="131"/>
      <c r="Q3" s="131"/>
      <c r="R3" s="114"/>
      <c r="S3" s="120"/>
      <c r="T3" s="120"/>
      <c r="U3" s="120"/>
    </row>
    <row r="4" spans="2:21" x14ac:dyDescent="0.25">
      <c r="B4" s="2" t="s">
        <v>0</v>
      </c>
      <c r="C4" s="91">
        <f>C5+C6</f>
        <v>29516.959999999992</v>
      </c>
      <c r="D4" s="66">
        <f>D6+D5</f>
        <v>23464.793089999999</v>
      </c>
      <c r="E4" s="91">
        <f>E5+E6</f>
        <v>83447.069999999992</v>
      </c>
      <c r="F4" s="139">
        <f>F6+F5</f>
        <v>72004.873089999994</v>
      </c>
      <c r="G4" s="129"/>
      <c r="H4" s="129"/>
      <c r="I4" s="129"/>
      <c r="J4" s="129"/>
      <c r="K4" s="132"/>
      <c r="L4" s="128"/>
      <c r="M4" s="128"/>
      <c r="N4" s="128"/>
      <c r="O4" s="128"/>
      <c r="P4" s="128"/>
      <c r="Q4" s="128"/>
      <c r="R4" s="123"/>
      <c r="S4" s="123"/>
      <c r="T4" s="123"/>
      <c r="U4" s="120"/>
    </row>
    <row r="5" spans="2:21" x14ac:dyDescent="0.25">
      <c r="B5" s="3" t="s">
        <v>1</v>
      </c>
      <c r="C5" s="75">
        <v>24552.929999999993</v>
      </c>
      <c r="D5" s="67">
        <v>19553.834320000002</v>
      </c>
      <c r="E5" s="75">
        <v>67410.899999999994</v>
      </c>
      <c r="F5" s="140">
        <v>58189.424319999998</v>
      </c>
      <c r="G5" s="129"/>
      <c r="H5" s="129"/>
      <c r="I5" s="129"/>
      <c r="J5" s="129"/>
      <c r="K5" s="124"/>
      <c r="L5" s="125"/>
      <c r="M5" s="125"/>
      <c r="N5" s="125"/>
      <c r="O5" s="125"/>
      <c r="P5" s="125"/>
      <c r="Q5" s="125"/>
      <c r="R5" s="120"/>
      <c r="S5" s="123"/>
      <c r="T5" s="123"/>
      <c r="U5" s="123"/>
    </row>
    <row r="6" spans="2:21" x14ac:dyDescent="0.25">
      <c r="B6" s="3" t="s">
        <v>2</v>
      </c>
      <c r="C6" s="75">
        <v>4964.0300000000007</v>
      </c>
      <c r="D6" s="67">
        <v>3910.9587699999993</v>
      </c>
      <c r="E6" s="75">
        <v>16036.17</v>
      </c>
      <c r="F6" s="140">
        <v>13815.448769999999</v>
      </c>
      <c r="G6" s="129"/>
      <c r="H6" s="129"/>
      <c r="I6" s="129"/>
      <c r="J6" s="129"/>
      <c r="K6" s="124"/>
      <c r="L6" s="125"/>
      <c r="M6" s="125"/>
      <c r="N6" s="125"/>
      <c r="O6" s="125"/>
      <c r="P6" s="125"/>
      <c r="Q6" s="125"/>
      <c r="R6" s="120"/>
      <c r="S6" s="123"/>
      <c r="T6" s="123"/>
      <c r="U6" s="120"/>
    </row>
    <row r="7" spans="2:21" x14ac:dyDescent="0.25">
      <c r="B7" s="2" t="s">
        <v>3</v>
      </c>
      <c r="C7" s="91">
        <f>C8+C9</f>
        <v>18720.189999999999</v>
      </c>
      <c r="D7" s="66">
        <f>D9+D8</f>
        <v>15741.829389999999</v>
      </c>
      <c r="E7" s="91">
        <f>E8+E9</f>
        <v>56009.25</v>
      </c>
      <c r="F7" s="139">
        <f>F9+F8</f>
        <v>49813.029389999996</v>
      </c>
      <c r="G7" s="129"/>
      <c r="H7" s="129"/>
      <c r="I7" s="129"/>
      <c r="J7" s="129"/>
      <c r="K7" s="132"/>
      <c r="L7" s="128"/>
      <c r="M7" s="128"/>
      <c r="N7" s="128"/>
      <c r="O7" s="128"/>
      <c r="P7" s="128"/>
      <c r="Q7" s="128"/>
      <c r="R7" s="120"/>
      <c r="S7" s="123"/>
      <c r="T7" s="123"/>
      <c r="U7" s="120"/>
    </row>
    <row r="8" spans="2:21" x14ac:dyDescent="0.25">
      <c r="B8" s="3" t="s">
        <v>4</v>
      </c>
      <c r="C8" s="75">
        <v>13339.66</v>
      </c>
      <c r="D8" s="67">
        <v>12658.635389999999</v>
      </c>
      <c r="E8" s="75">
        <v>42642.36</v>
      </c>
      <c r="F8" s="140">
        <v>39012.72539</v>
      </c>
      <c r="G8" s="129"/>
      <c r="H8" s="129"/>
      <c r="I8" s="129"/>
      <c r="J8" s="129"/>
      <c r="K8" s="124"/>
      <c r="L8" s="125"/>
      <c r="M8" s="125"/>
      <c r="N8" s="125"/>
      <c r="O8" s="125"/>
      <c r="P8" s="125"/>
      <c r="Q8" s="125"/>
      <c r="R8" s="120"/>
      <c r="S8" s="123"/>
      <c r="T8" s="123"/>
      <c r="U8" s="120"/>
    </row>
    <row r="9" spans="2:21" x14ac:dyDescent="0.25">
      <c r="B9" s="3" t="s">
        <v>5</v>
      </c>
      <c r="C9" s="75">
        <v>5380.53</v>
      </c>
      <c r="D9" s="67">
        <v>3083.1940000000004</v>
      </c>
      <c r="E9" s="75">
        <v>13366.89</v>
      </c>
      <c r="F9" s="140">
        <v>10800.304</v>
      </c>
      <c r="G9" s="129"/>
      <c r="H9" s="129"/>
      <c r="I9" s="133"/>
      <c r="J9" s="129"/>
      <c r="K9" s="124"/>
      <c r="L9" s="125"/>
      <c r="M9" s="125"/>
      <c r="N9" s="125"/>
      <c r="O9" s="125"/>
      <c r="P9" s="125"/>
      <c r="Q9" s="125"/>
      <c r="R9" s="120"/>
      <c r="S9" s="123"/>
      <c r="T9" s="123"/>
      <c r="U9" s="120"/>
    </row>
    <row r="10" spans="2:21" x14ac:dyDescent="0.25">
      <c r="B10" s="8" t="s">
        <v>6</v>
      </c>
      <c r="C10" s="92">
        <f>C4-C7</f>
        <v>10796.769999999993</v>
      </c>
      <c r="D10" s="68">
        <f>D4-D7</f>
        <v>7722.9637000000002</v>
      </c>
      <c r="E10" s="92">
        <f>E4-E7</f>
        <v>27437.819999999992</v>
      </c>
      <c r="F10" s="141">
        <f>F4-F7</f>
        <v>22191.843699999998</v>
      </c>
      <c r="G10" s="128"/>
      <c r="H10" s="128"/>
      <c r="I10" s="133"/>
      <c r="J10" s="129"/>
      <c r="K10" s="127"/>
      <c r="L10" s="128"/>
      <c r="M10" s="128"/>
      <c r="N10" s="128"/>
      <c r="O10" s="128"/>
      <c r="P10" s="128"/>
      <c r="Q10" s="128"/>
      <c r="R10" s="120"/>
      <c r="S10" s="123"/>
      <c r="T10" s="123"/>
      <c r="U10" s="120"/>
    </row>
    <row r="11" spans="2:21" ht="22.5" x14ac:dyDescent="0.25">
      <c r="B11" s="3" t="s">
        <v>7</v>
      </c>
      <c r="C11" s="75">
        <v>0</v>
      </c>
      <c r="D11" s="67">
        <v>0</v>
      </c>
      <c r="E11" s="75">
        <v>0</v>
      </c>
      <c r="F11" s="140">
        <v>0</v>
      </c>
      <c r="G11" s="129"/>
      <c r="H11" s="129"/>
      <c r="I11" s="129"/>
      <c r="J11" s="129"/>
      <c r="K11" s="124"/>
      <c r="L11" s="125"/>
      <c r="M11" s="125"/>
      <c r="N11" s="125"/>
      <c r="O11" s="125"/>
      <c r="P11" s="125"/>
      <c r="Q11" s="125"/>
      <c r="R11" s="120"/>
      <c r="S11" s="123"/>
      <c r="T11" s="123"/>
      <c r="U11" s="120"/>
    </row>
    <row r="12" spans="2:21" x14ac:dyDescent="0.25">
      <c r="B12" s="4" t="s">
        <v>8</v>
      </c>
      <c r="C12" s="75">
        <v>113.80000000000004</v>
      </c>
      <c r="D12" s="67">
        <v>145.43903999999995</v>
      </c>
      <c r="E12" s="75">
        <v>346.72</v>
      </c>
      <c r="F12" s="140">
        <v>370.26903999999996</v>
      </c>
      <c r="G12" s="129"/>
      <c r="H12" s="129"/>
      <c r="I12" s="129"/>
      <c r="J12" s="129"/>
      <c r="K12" s="126"/>
      <c r="L12" s="125"/>
      <c r="M12" s="125"/>
      <c r="N12" s="125"/>
      <c r="O12" s="125"/>
      <c r="P12" s="125"/>
      <c r="Q12" s="125"/>
      <c r="R12" s="120"/>
      <c r="S12" s="123"/>
      <c r="T12" s="123"/>
      <c r="U12" s="120"/>
    </row>
    <row r="13" spans="2:21" x14ac:dyDescent="0.25">
      <c r="B13" s="4" t="s">
        <v>9</v>
      </c>
      <c r="C13" s="75">
        <v>7811.5300000000007</v>
      </c>
      <c r="D13" s="67">
        <v>4652.5965199999991</v>
      </c>
      <c r="E13" s="75">
        <v>16496.18</v>
      </c>
      <c r="F13" s="140">
        <v>12856.53652</v>
      </c>
      <c r="G13" s="129"/>
      <c r="H13" s="134"/>
      <c r="I13" s="134"/>
      <c r="J13" s="129"/>
      <c r="K13" s="126"/>
      <c r="L13" s="125"/>
      <c r="M13" s="125"/>
      <c r="N13" s="125"/>
      <c r="O13" s="125"/>
      <c r="P13" s="125"/>
      <c r="Q13" s="125"/>
      <c r="R13" s="120"/>
      <c r="S13" s="123"/>
      <c r="T13" s="123"/>
      <c r="U13" s="120"/>
    </row>
    <row r="14" spans="2:21" x14ac:dyDescent="0.25">
      <c r="B14" s="4" t="s">
        <v>10</v>
      </c>
      <c r="C14" s="75">
        <v>2258.4899999999998</v>
      </c>
      <c r="D14" s="67">
        <v>2791.2028300000002</v>
      </c>
      <c r="E14" s="75">
        <v>8147.87</v>
      </c>
      <c r="F14" s="140">
        <v>7588.6028299999998</v>
      </c>
      <c r="G14" s="129"/>
      <c r="H14" s="129"/>
      <c r="I14" s="129"/>
      <c r="J14" s="129"/>
      <c r="K14" s="126"/>
      <c r="L14" s="125"/>
      <c r="M14" s="125"/>
      <c r="N14" s="125"/>
      <c r="O14" s="125"/>
      <c r="P14" s="125"/>
      <c r="Q14" s="125"/>
      <c r="R14" s="120"/>
      <c r="S14" s="123"/>
      <c r="T14" s="123"/>
      <c r="U14" s="120"/>
    </row>
    <row r="15" spans="2:21" x14ac:dyDescent="0.25">
      <c r="B15" s="4" t="s">
        <v>11</v>
      </c>
      <c r="C15" s="75">
        <v>0</v>
      </c>
      <c r="D15" s="67">
        <v>0</v>
      </c>
      <c r="E15" s="75">
        <v>0</v>
      </c>
      <c r="F15" s="140">
        <v>0</v>
      </c>
      <c r="G15" s="129"/>
      <c r="H15" s="129"/>
      <c r="I15" s="129"/>
      <c r="J15" s="129"/>
      <c r="K15" s="126"/>
      <c r="L15" s="125"/>
      <c r="M15" s="125"/>
      <c r="N15" s="125"/>
      <c r="O15" s="125"/>
      <c r="P15" s="125"/>
      <c r="Q15" s="125"/>
      <c r="R15" s="120"/>
      <c r="S15" s="123"/>
      <c r="T15" s="123"/>
      <c r="U15" s="120"/>
    </row>
    <row r="16" spans="2:21" x14ac:dyDescent="0.25">
      <c r="B16" s="4" t="s">
        <v>12</v>
      </c>
      <c r="C16" s="75">
        <v>64.7</v>
      </c>
      <c r="D16" s="67">
        <v>22.932880000000011</v>
      </c>
      <c r="E16" s="75">
        <v>118.62</v>
      </c>
      <c r="F16" s="140">
        <v>90.042880000000011</v>
      </c>
      <c r="G16" s="129"/>
      <c r="H16" s="129"/>
      <c r="I16" s="134"/>
      <c r="J16" s="129"/>
      <c r="K16" s="126"/>
      <c r="L16" s="125"/>
      <c r="M16" s="125"/>
      <c r="N16" s="125"/>
      <c r="O16" s="125"/>
      <c r="P16" s="125"/>
      <c r="Q16" s="125"/>
      <c r="R16" s="120"/>
      <c r="S16" s="123"/>
      <c r="T16" s="123"/>
      <c r="U16" s="120"/>
    </row>
    <row r="17" spans="2:21" x14ac:dyDescent="0.25">
      <c r="B17" s="8" t="s">
        <v>13</v>
      </c>
      <c r="C17" s="92">
        <f>C10+C11+C12-C13-C14-C15-C16</f>
        <v>775.84999999999195</v>
      </c>
      <c r="D17" s="68">
        <f t="shared" ref="D17:F17" si="0">D10+D11+D12-D13-D14-D15-D16</f>
        <v>401.67051000000112</v>
      </c>
      <c r="E17" s="92">
        <f>E10+E11+E12-E13-E14-E15-E16</f>
        <v>3021.8699999999935</v>
      </c>
      <c r="F17" s="141">
        <f t="shared" si="0"/>
        <v>2026.9305099999974</v>
      </c>
      <c r="G17" s="128"/>
      <c r="H17" s="128"/>
      <c r="I17" s="134"/>
      <c r="J17" s="134"/>
      <c r="K17" s="127"/>
      <c r="L17" s="128"/>
      <c r="M17" s="128"/>
      <c r="N17" s="128"/>
      <c r="O17" s="128"/>
      <c r="P17" s="128"/>
      <c r="Q17" s="128"/>
      <c r="R17" s="120"/>
      <c r="S17" s="123"/>
      <c r="T17" s="123"/>
      <c r="U17" s="120"/>
    </row>
    <row r="18" spans="2:21" x14ac:dyDescent="0.25">
      <c r="B18" s="4" t="s">
        <v>14</v>
      </c>
      <c r="C18" s="75">
        <v>26.130000000000003</v>
      </c>
      <c r="D18" s="67">
        <v>-14.14658</v>
      </c>
      <c r="E18" s="75">
        <v>30.14</v>
      </c>
      <c r="F18" s="140">
        <v>7.9434199999999997</v>
      </c>
      <c r="G18" s="129"/>
      <c r="H18" s="129"/>
      <c r="I18" s="129"/>
      <c r="J18" s="129"/>
      <c r="K18" s="126"/>
      <c r="L18" s="125"/>
      <c r="M18" s="125"/>
      <c r="N18" s="125"/>
      <c r="O18" s="125"/>
      <c r="P18" s="125"/>
      <c r="Q18" s="125"/>
      <c r="R18" s="120"/>
      <c r="S18" s="123"/>
      <c r="T18" s="123"/>
      <c r="U18" s="120"/>
    </row>
    <row r="19" spans="2:21" x14ac:dyDescent="0.25">
      <c r="B19" s="4" t="s">
        <v>15</v>
      </c>
      <c r="C19" s="75">
        <v>102.19999999999999</v>
      </c>
      <c r="D19" s="67">
        <v>256.29125000000005</v>
      </c>
      <c r="E19" s="75">
        <v>601.53</v>
      </c>
      <c r="F19" s="140">
        <v>680.72125000000005</v>
      </c>
      <c r="G19" s="129"/>
      <c r="H19" s="129"/>
      <c r="I19" s="129"/>
      <c r="J19" s="129"/>
      <c r="K19" s="126"/>
      <c r="L19" s="125"/>
      <c r="M19" s="125"/>
      <c r="N19" s="125"/>
      <c r="O19" s="125"/>
      <c r="P19" s="125"/>
      <c r="Q19" s="125"/>
      <c r="R19" s="120"/>
      <c r="S19" s="123"/>
      <c r="T19" s="123"/>
      <c r="U19" s="120"/>
    </row>
    <row r="20" spans="2:21" ht="22.5" x14ac:dyDescent="0.25">
      <c r="B20" s="4" t="s">
        <v>16</v>
      </c>
      <c r="C20" s="75">
        <v>0</v>
      </c>
      <c r="D20" s="67">
        <v>0</v>
      </c>
      <c r="E20" s="75">
        <v>0</v>
      </c>
      <c r="F20" s="140">
        <v>0</v>
      </c>
      <c r="G20" s="129"/>
      <c r="H20" s="129"/>
      <c r="I20" s="129"/>
      <c r="J20" s="129"/>
      <c r="K20" s="126"/>
      <c r="L20" s="125"/>
      <c r="M20" s="125"/>
      <c r="N20" s="125"/>
      <c r="O20" s="125"/>
      <c r="P20" s="125"/>
      <c r="Q20" s="125"/>
      <c r="R20" s="120"/>
      <c r="S20" s="123"/>
      <c r="T20" s="123"/>
      <c r="U20" s="120"/>
    </row>
    <row r="21" spans="2:21" x14ac:dyDescent="0.25">
      <c r="B21" s="8" t="s">
        <v>17</v>
      </c>
      <c r="C21" s="92">
        <f>C17+C18-C19-C20</f>
        <v>699.77999999999201</v>
      </c>
      <c r="D21" s="68">
        <f t="shared" ref="D21:F21" si="1">D17+D18-D19-D20</f>
        <v>131.23268000000104</v>
      </c>
      <c r="E21" s="92">
        <f>E17+E18-E19-E20</f>
        <v>2450.4799999999932</v>
      </c>
      <c r="F21" s="141">
        <f t="shared" si="1"/>
        <v>1354.1526799999974</v>
      </c>
      <c r="G21" s="129"/>
      <c r="H21" s="128"/>
      <c r="I21" s="129"/>
      <c r="J21" s="129"/>
      <c r="K21" s="127"/>
      <c r="L21" s="128"/>
      <c r="M21" s="128"/>
      <c r="N21" s="128"/>
      <c r="O21" s="128"/>
      <c r="P21" s="128"/>
      <c r="Q21" s="128"/>
      <c r="R21" s="120"/>
      <c r="S21" s="123"/>
      <c r="T21" s="123"/>
      <c r="U21" s="120"/>
    </row>
    <row r="22" spans="2:21" x14ac:dyDescent="0.25">
      <c r="B22" s="4" t="s">
        <v>18</v>
      </c>
      <c r="C22" s="75">
        <v>0</v>
      </c>
      <c r="D22" s="67">
        <v>0</v>
      </c>
      <c r="E22" s="75">
        <v>0</v>
      </c>
      <c r="F22" s="140">
        <v>0</v>
      </c>
      <c r="G22" s="129"/>
      <c r="H22" s="129"/>
      <c r="I22" s="129"/>
      <c r="J22" s="129"/>
      <c r="K22" s="126"/>
      <c r="L22" s="125"/>
      <c r="M22" s="125"/>
      <c r="N22" s="125"/>
      <c r="O22" s="125"/>
      <c r="P22" s="125"/>
      <c r="Q22" s="125"/>
      <c r="R22" s="120"/>
      <c r="S22" s="123"/>
      <c r="T22" s="123"/>
      <c r="U22" s="120"/>
    </row>
    <row r="23" spans="2:21" x14ac:dyDescent="0.25">
      <c r="B23" s="45" t="s">
        <v>19</v>
      </c>
      <c r="C23" s="93">
        <v>0</v>
      </c>
      <c r="D23" s="67">
        <v>0</v>
      </c>
      <c r="E23" s="93">
        <v>0</v>
      </c>
      <c r="F23" s="140">
        <v>0</v>
      </c>
      <c r="G23" s="129"/>
      <c r="H23" s="129"/>
      <c r="I23" s="129"/>
      <c r="J23" s="129"/>
      <c r="K23" s="127"/>
      <c r="L23" s="125"/>
      <c r="M23" s="125"/>
      <c r="N23" s="125"/>
      <c r="O23" s="125"/>
      <c r="P23" s="125"/>
      <c r="Q23" s="125"/>
      <c r="R23" s="120"/>
      <c r="S23" s="123"/>
      <c r="T23" s="123"/>
      <c r="U23" s="120"/>
    </row>
    <row r="24" spans="2:21" x14ac:dyDescent="0.25">
      <c r="B24" s="8" t="s">
        <v>20</v>
      </c>
      <c r="C24" s="92">
        <f>C21-C22</f>
        <v>699.77999999999201</v>
      </c>
      <c r="D24" s="68">
        <f>D21-D22</f>
        <v>131.23268000000104</v>
      </c>
      <c r="E24" s="92">
        <f>E21-E22</f>
        <v>2450.4799999999932</v>
      </c>
      <c r="F24" s="141">
        <f>F21-F22</f>
        <v>1354.1526799999974</v>
      </c>
      <c r="G24" s="129"/>
      <c r="H24" s="129"/>
      <c r="I24" s="129"/>
      <c r="J24" s="129"/>
      <c r="K24" s="127"/>
      <c r="L24" s="128"/>
      <c r="M24" s="128"/>
      <c r="N24" s="128"/>
      <c r="O24" s="128"/>
      <c r="P24" s="128"/>
      <c r="Q24" s="128"/>
      <c r="R24" s="120"/>
      <c r="S24" s="123"/>
      <c r="T24" s="123"/>
      <c r="U24" s="120"/>
    </row>
    <row r="25" spans="2:21" x14ac:dyDescent="0.25">
      <c r="B25" s="2" t="s">
        <v>21</v>
      </c>
      <c r="C25" s="92">
        <v>0</v>
      </c>
      <c r="D25" s="68">
        <v>0</v>
      </c>
      <c r="E25" s="92">
        <v>0</v>
      </c>
      <c r="F25" s="141">
        <v>0</v>
      </c>
      <c r="G25" s="129"/>
      <c r="H25" s="129"/>
      <c r="I25" s="129"/>
      <c r="J25" s="129"/>
      <c r="K25" s="132"/>
      <c r="L25" s="128"/>
      <c r="M25" s="128"/>
      <c r="N25" s="128"/>
      <c r="O25" s="128"/>
      <c r="P25" s="128"/>
      <c r="Q25" s="128"/>
      <c r="R25" s="120"/>
      <c r="S25" s="123"/>
      <c r="T25" s="123"/>
      <c r="U25" s="120"/>
    </row>
    <row r="26" spans="2:21" x14ac:dyDescent="0.25">
      <c r="B26" s="8" t="s">
        <v>22</v>
      </c>
      <c r="C26" s="92">
        <f>C21</f>
        <v>699.77999999999201</v>
      </c>
      <c r="D26" s="68">
        <f>D24</f>
        <v>131.23268000000104</v>
      </c>
      <c r="E26" s="92">
        <f>E21</f>
        <v>2450.4799999999932</v>
      </c>
      <c r="F26" s="141">
        <f>F24</f>
        <v>1354.1526799999974</v>
      </c>
      <c r="G26" s="129"/>
      <c r="H26" s="129"/>
      <c r="I26" s="129"/>
      <c r="J26" s="129"/>
      <c r="K26" s="127"/>
      <c r="L26" s="128"/>
      <c r="M26" s="128"/>
      <c r="N26" s="128"/>
      <c r="O26" s="128"/>
      <c r="P26" s="128"/>
      <c r="Q26" s="128"/>
      <c r="R26" s="120"/>
      <c r="S26" s="123"/>
      <c r="T26" s="123"/>
      <c r="U26" s="120"/>
    </row>
    <row r="27" spans="2:21" ht="20.25" customHeight="1" x14ac:dyDescent="0.25">
      <c r="B27" s="45" t="s">
        <v>173</v>
      </c>
      <c r="C27" s="93">
        <f>C26</f>
        <v>699.77999999999201</v>
      </c>
      <c r="D27" s="67">
        <f>D26</f>
        <v>131.23268000000104</v>
      </c>
      <c r="E27" s="93">
        <f>E26</f>
        <v>2450.4799999999932</v>
      </c>
      <c r="F27" s="140">
        <f>F26</f>
        <v>1354.1526799999974</v>
      </c>
      <c r="G27" s="129"/>
      <c r="H27" s="129"/>
      <c r="I27" s="129"/>
      <c r="J27" s="129"/>
      <c r="K27" s="127"/>
      <c r="L27" s="125"/>
      <c r="M27" s="125"/>
      <c r="N27" s="125"/>
      <c r="O27" s="125"/>
      <c r="P27" s="125"/>
      <c r="Q27" s="125"/>
      <c r="R27" s="123"/>
      <c r="S27" s="123"/>
      <c r="T27" s="123"/>
      <c r="U27" s="120"/>
    </row>
    <row r="28" spans="2:21" x14ac:dyDescent="0.25">
      <c r="B28" s="45" t="s">
        <v>19</v>
      </c>
      <c r="C28" s="93">
        <v>0</v>
      </c>
      <c r="D28" s="67">
        <v>0</v>
      </c>
      <c r="E28" s="93">
        <v>0</v>
      </c>
      <c r="F28" s="140">
        <v>0</v>
      </c>
      <c r="G28" s="129"/>
      <c r="H28" s="129"/>
      <c r="I28" s="129"/>
      <c r="J28" s="129"/>
      <c r="K28" s="127"/>
      <c r="L28" s="125"/>
      <c r="M28" s="125"/>
      <c r="N28" s="125"/>
      <c r="O28" s="125"/>
      <c r="P28" s="125"/>
      <c r="Q28" s="125"/>
      <c r="R28" s="120"/>
      <c r="S28" s="120"/>
      <c r="T28" s="120"/>
      <c r="U28" s="120"/>
    </row>
    <row r="29" spans="2:21" x14ac:dyDescent="0.25">
      <c r="B29" s="6" t="s">
        <v>174</v>
      </c>
      <c r="C29" s="92">
        <f>$C$27*1000/58000</f>
        <v>12.065172413792965</v>
      </c>
      <c r="D29" s="68">
        <f t="shared" ref="D29:D34" si="2">$D$27*1000/56400</f>
        <v>2.326820567375905</v>
      </c>
      <c r="E29" s="92">
        <f>$E$27*1000/58000</f>
        <v>42.249655172413675</v>
      </c>
      <c r="F29" s="141">
        <f>$F$27*1000/56400</f>
        <v>24.009799290780094</v>
      </c>
      <c r="G29" s="129"/>
      <c r="H29" s="129"/>
      <c r="I29" s="129"/>
      <c r="J29" s="129"/>
      <c r="K29" s="135"/>
      <c r="L29" s="128"/>
      <c r="M29" s="128"/>
      <c r="N29" s="128"/>
      <c r="O29" s="128"/>
      <c r="P29" s="128"/>
      <c r="Q29" s="128"/>
      <c r="R29" s="120"/>
      <c r="S29" s="120"/>
      <c r="T29" s="120"/>
      <c r="U29" s="120"/>
    </row>
    <row r="30" spans="2:21" x14ac:dyDescent="0.25">
      <c r="B30" s="7" t="s">
        <v>23</v>
      </c>
      <c r="C30" s="94">
        <f t="shared" ref="C30:C34" si="3">$C$27*1000/58000</f>
        <v>12.065172413792965</v>
      </c>
      <c r="D30" s="69">
        <f t="shared" si="2"/>
        <v>2.326820567375905</v>
      </c>
      <c r="E30" s="94">
        <f t="shared" ref="E30:E34" si="4">$E$27*1000/58000</f>
        <v>42.249655172413675</v>
      </c>
      <c r="F30" s="142">
        <f t="shared" ref="F30:F34" si="5">$F$27*1000/56400</f>
        <v>24.009799290780094</v>
      </c>
      <c r="G30" s="129"/>
      <c r="H30" s="129"/>
      <c r="I30" s="129"/>
      <c r="J30" s="129"/>
      <c r="K30" s="136"/>
      <c r="L30" s="128"/>
      <c r="M30" s="128"/>
      <c r="N30" s="128"/>
      <c r="O30" s="128"/>
      <c r="P30" s="128"/>
      <c r="Q30" s="128"/>
      <c r="R30" s="120"/>
      <c r="S30" s="120"/>
      <c r="T30" s="120"/>
      <c r="U30" s="120"/>
    </row>
    <row r="31" spans="2:21" x14ac:dyDescent="0.25">
      <c r="B31" s="7" t="s">
        <v>24</v>
      </c>
      <c r="C31" s="94">
        <f t="shared" si="3"/>
        <v>12.065172413792965</v>
      </c>
      <c r="D31" s="69">
        <f t="shared" si="2"/>
        <v>2.326820567375905</v>
      </c>
      <c r="E31" s="94">
        <f t="shared" si="4"/>
        <v>42.249655172413675</v>
      </c>
      <c r="F31" s="142">
        <f t="shared" si="5"/>
        <v>24.009799290780094</v>
      </c>
      <c r="G31" s="129"/>
      <c r="H31" s="129"/>
      <c r="I31" s="129"/>
      <c r="J31" s="129"/>
      <c r="K31" s="136"/>
      <c r="L31" s="128"/>
      <c r="M31" s="128"/>
      <c r="N31" s="128"/>
      <c r="O31" s="128"/>
      <c r="P31" s="128"/>
      <c r="Q31" s="128"/>
      <c r="R31" s="120"/>
      <c r="S31" s="120"/>
      <c r="T31" s="120"/>
      <c r="U31" s="120"/>
    </row>
    <row r="32" spans="2:21" ht="22.5" x14ac:dyDescent="0.25">
      <c r="B32" s="8" t="s">
        <v>175</v>
      </c>
      <c r="C32" s="92">
        <f t="shared" si="3"/>
        <v>12.065172413792965</v>
      </c>
      <c r="D32" s="68">
        <f t="shared" si="2"/>
        <v>2.326820567375905</v>
      </c>
      <c r="E32" s="92">
        <f t="shared" si="4"/>
        <v>42.249655172413675</v>
      </c>
      <c r="F32" s="141">
        <f t="shared" si="5"/>
        <v>24.009799290780094</v>
      </c>
      <c r="G32" s="129"/>
      <c r="H32" s="129"/>
      <c r="I32" s="129"/>
      <c r="J32" s="129"/>
      <c r="K32" s="127"/>
      <c r="L32" s="128"/>
      <c r="M32" s="128"/>
      <c r="N32" s="128"/>
      <c r="O32" s="128"/>
      <c r="P32" s="128"/>
      <c r="Q32" s="128"/>
      <c r="R32" s="120"/>
      <c r="S32" s="120"/>
      <c r="T32" s="120"/>
      <c r="U32" s="120"/>
    </row>
    <row r="33" spans="2:21" x14ac:dyDescent="0.25">
      <c r="B33" s="3" t="s">
        <v>23</v>
      </c>
      <c r="C33" s="94">
        <f t="shared" si="3"/>
        <v>12.065172413792965</v>
      </c>
      <c r="D33" s="69">
        <f t="shared" si="2"/>
        <v>2.326820567375905</v>
      </c>
      <c r="E33" s="94">
        <f t="shared" si="4"/>
        <v>42.249655172413675</v>
      </c>
      <c r="F33" s="142">
        <f t="shared" si="5"/>
        <v>24.009799290780094</v>
      </c>
      <c r="G33" s="129"/>
      <c r="H33" s="129"/>
      <c r="I33" s="129"/>
      <c r="J33" s="129"/>
      <c r="K33" s="124"/>
      <c r="L33" s="128"/>
      <c r="M33" s="128"/>
      <c r="N33" s="128"/>
      <c r="O33" s="128"/>
      <c r="P33" s="128"/>
      <c r="Q33" s="128"/>
      <c r="R33" s="120"/>
      <c r="S33" s="120"/>
      <c r="T33" s="120"/>
      <c r="U33" s="120"/>
    </row>
    <row r="34" spans="2:21" x14ac:dyDescent="0.25">
      <c r="B34" s="3" t="s">
        <v>24</v>
      </c>
      <c r="C34" s="94">
        <f t="shared" si="3"/>
        <v>12.065172413792965</v>
      </c>
      <c r="D34" s="69">
        <f t="shared" si="2"/>
        <v>2.326820567375905</v>
      </c>
      <c r="E34" s="94">
        <f t="shared" si="4"/>
        <v>42.249655172413675</v>
      </c>
      <c r="F34" s="142">
        <f t="shared" si="5"/>
        <v>24.009799290780094</v>
      </c>
      <c r="G34" s="129"/>
      <c r="H34" s="129"/>
      <c r="I34" s="129"/>
      <c r="J34" s="129"/>
      <c r="K34" s="124"/>
      <c r="L34" s="128"/>
      <c r="M34" s="128"/>
      <c r="N34" s="128"/>
      <c r="O34" s="128"/>
      <c r="P34" s="128"/>
      <c r="Q34" s="128"/>
      <c r="R34" s="120"/>
      <c r="S34" s="120"/>
      <c r="T34" s="120"/>
      <c r="U34" s="120"/>
    </row>
    <row r="35" spans="2:21" ht="23.25" thickBot="1" x14ac:dyDescent="0.3">
      <c r="B35" s="9" t="s">
        <v>176</v>
      </c>
      <c r="C35" s="95">
        <v>0</v>
      </c>
      <c r="D35" s="70">
        <v>0</v>
      </c>
      <c r="E35" s="92">
        <v>0</v>
      </c>
      <c r="F35" s="143">
        <v>0</v>
      </c>
      <c r="G35" s="129"/>
      <c r="H35" s="129"/>
      <c r="I35" s="129"/>
      <c r="J35" s="129"/>
      <c r="K35" s="127"/>
      <c r="L35" s="137"/>
      <c r="M35" s="137"/>
      <c r="N35" s="128"/>
      <c r="O35" s="137"/>
      <c r="P35" s="128"/>
      <c r="Q35" s="128"/>
      <c r="R35" s="120"/>
      <c r="S35" s="120"/>
      <c r="T35" s="120"/>
      <c r="U35" s="120"/>
    </row>
    <row r="36" spans="2:21" ht="15.75" thickTop="1" x14ac:dyDescent="0.25"/>
  </sheetData>
  <mergeCells count="2">
    <mergeCell ref="C2:F2"/>
    <mergeCell ref="L2:M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>
      <selection activeCell="C17" sqref="C17"/>
    </sheetView>
  </sheetViews>
  <sheetFormatPr defaultRowHeight="15" x14ac:dyDescent="0.25"/>
  <cols>
    <col min="2" max="2" width="61.7109375" customWidth="1"/>
    <col min="3" max="6" width="12.5703125" style="46" customWidth="1"/>
    <col min="7" max="7" width="9.140625" style="46"/>
  </cols>
  <sheetData>
    <row r="1" spans="2:6" ht="15.75" thickBot="1" x14ac:dyDescent="0.3"/>
    <row r="2" spans="2:6" ht="16.5" thickTop="1" thickBot="1" x14ac:dyDescent="0.3">
      <c r="C2" s="182" t="s">
        <v>25</v>
      </c>
      <c r="D2" s="183"/>
      <c r="E2" s="183"/>
      <c r="F2" s="186"/>
    </row>
    <row r="3" spans="2:6" ht="36.75" customHeight="1" thickTop="1" x14ac:dyDescent="0.25">
      <c r="B3" s="1"/>
      <c r="C3" s="59" t="s">
        <v>162</v>
      </c>
      <c r="D3" s="59" t="s">
        <v>163</v>
      </c>
      <c r="E3" s="60" t="s">
        <v>164</v>
      </c>
      <c r="F3" s="58" t="s">
        <v>165</v>
      </c>
    </row>
    <row r="4" spans="2:6" x14ac:dyDescent="0.25">
      <c r="B4" s="5" t="s">
        <v>22</v>
      </c>
      <c r="C4" s="71">
        <f>'RZiS LLF'!C26</f>
        <v>699.77999999999201</v>
      </c>
      <c r="D4" s="71">
        <f>'RZiS LLF'!D26</f>
        <v>131.23268000000104</v>
      </c>
      <c r="E4" s="76">
        <f>'RZiS LLF'!E26</f>
        <v>2450.4799999999932</v>
      </c>
      <c r="F4" s="74">
        <f>'RZiS LLF'!F26</f>
        <v>1354.1526799999974</v>
      </c>
    </row>
    <row r="5" spans="2:6" x14ac:dyDescent="0.25">
      <c r="B5" s="4" t="s">
        <v>72</v>
      </c>
      <c r="C5" s="75">
        <v>0</v>
      </c>
      <c r="D5" s="67">
        <v>0</v>
      </c>
      <c r="E5" s="75">
        <v>0</v>
      </c>
      <c r="F5" s="75">
        <v>0</v>
      </c>
    </row>
    <row r="6" spans="2:6" ht="22.5" x14ac:dyDescent="0.25">
      <c r="B6" s="4" t="s">
        <v>73</v>
      </c>
      <c r="C6" s="75">
        <v>0</v>
      </c>
      <c r="D6" s="67">
        <v>0</v>
      </c>
      <c r="E6" s="75">
        <v>0</v>
      </c>
      <c r="F6" s="75">
        <v>0</v>
      </c>
    </row>
    <row r="7" spans="2:6" ht="22.5" x14ac:dyDescent="0.25">
      <c r="B7" s="4" t="s">
        <v>74</v>
      </c>
      <c r="C7" s="75">
        <v>0</v>
      </c>
      <c r="D7" s="67">
        <v>0</v>
      </c>
      <c r="E7" s="75">
        <v>0</v>
      </c>
      <c r="F7" s="75">
        <v>0</v>
      </c>
    </row>
    <row r="8" spans="2:6" x14ac:dyDescent="0.25">
      <c r="B8" s="4" t="s">
        <v>75</v>
      </c>
      <c r="C8" s="75">
        <v>0</v>
      </c>
      <c r="D8" s="67">
        <v>0</v>
      </c>
      <c r="E8" s="75">
        <v>0</v>
      </c>
      <c r="F8" s="75">
        <v>0</v>
      </c>
    </row>
    <row r="9" spans="2:6" x14ac:dyDescent="0.25">
      <c r="B9" s="4" t="s">
        <v>76</v>
      </c>
      <c r="C9" s="75">
        <v>0</v>
      </c>
      <c r="D9" s="67">
        <v>0</v>
      </c>
      <c r="E9" s="75">
        <v>0</v>
      </c>
      <c r="F9" s="75">
        <v>0</v>
      </c>
    </row>
    <row r="10" spans="2:6" x14ac:dyDescent="0.25">
      <c r="B10" s="4" t="s">
        <v>77</v>
      </c>
      <c r="C10" s="75">
        <v>0</v>
      </c>
      <c r="D10" s="67">
        <v>0</v>
      </c>
      <c r="E10" s="75">
        <v>0</v>
      </c>
      <c r="F10" s="75">
        <v>0</v>
      </c>
    </row>
    <row r="11" spans="2:6" x14ac:dyDescent="0.25">
      <c r="B11" s="5" t="s">
        <v>78</v>
      </c>
      <c r="C11" s="71">
        <f>C4</f>
        <v>699.77999999999201</v>
      </c>
      <c r="D11" s="71">
        <f t="shared" ref="D11:F11" si="0">D4</f>
        <v>131.23268000000104</v>
      </c>
      <c r="E11" s="76">
        <f t="shared" si="0"/>
        <v>2450.4799999999932</v>
      </c>
      <c r="F11" s="76">
        <f t="shared" si="0"/>
        <v>1354.1526799999974</v>
      </c>
    </row>
    <row r="12" spans="2:6" x14ac:dyDescent="0.25">
      <c r="B12" s="17" t="s">
        <v>177</v>
      </c>
      <c r="C12" s="72">
        <v>0</v>
      </c>
      <c r="D12" s="72">
        <v>0</v>
      </c>
      <c r="E12" s="75">
        <v>0</v>
      </c>
      <c r="F12" s="67">
        <v>0</v>
      </c>
    </row>
    <row r="13" spans="2:6" ht="15.75" thickBot="1" x14ac:dyDescent="0.3">
      <c r="B13" s="18" t="s">
        <v>79</v>
      </c>
      <c r="C13" s="96">
        <f>C11</f>
        <v>699.77999999999201</v>
      </c>
      <c r="D13" s="73">
        <f>D11</f>
        <v>131.23268000000104</v>
      </c>
      <c r="E13" s="96">
        <f>E11</f>
        <v>2450.4799999999932</v>
      </c>
      <c r="F13" s="73">
        <f>F11</f>
        <v>1354.1526799999974</v>
      </c>
    </row>
    <row r="14" spans="2:6" ht="15.75" thickTop="1" x14ac:dyDescent="0.25"/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8"/>
  <sheetViews>
    <sheetView zoomScaleNormal="100" workbookViewId="0">
      <selection activeCell="A59" sqref="A59:XFD59"/>
    </sheetView>
  </sheetViews>
  <sheetFormatPr defaultRowHeight="15" x14ac:dyDescent="0.25"/>
  <cols>
    <col min="1" max="1" width="4.42578125" customWidth="1"/>
    <col min="2" max="2" width="55.42578125" customWidth="1"/>
    <col min="3" max="4" width="13.140625" style="56" customWidth="1"/>
  </cols>
  <sheetData>
    <row r="1" spans="2:4" ht="15.75" thickBot="1" x14ac:dyDescent="0.3"/>
    <row r="2" spans="2:4" ht="16.5" thickTop="1" thickBot="1" x14ac:dyDescent="0.3">
      <c r="C2" s="187" t="s">
        <v>25</v>
      </c>
      <c r="D2" s="188"/>
    </row>
    <row r="3" spans="2:4" ht="25.5" customHeight="1" thickTop="1" x14ac:dyDescent="0.25">
      <c r="B3" s="1" t="s">
        <v>46</v>
      </c>
      <c r="C3" s="64" t="s">
        <v>166</v>
      </c>
      <c r="D3" s="10" t="s">
        <v>167</v>
      </c>
    </row>
    <row r="4" spans="2:4" x14ac:dyDescent="0.25">
      <c r="B4" s="12" t="s">
        <v>26</v>
      </c>
      <c r="C4" s="97">
        <f>SUM(C5:C12)</f>
        <v>30415.380999999998</v>
      </c>
      <c r="D4" s="77">
        <f>SUM(D5:D12)</f>
        <v>29914.568729999999</v>
      </c>
    </row>
    <row r="5" spans="2:4" x14ac:dyDescent="0.25">
      <c r="B5" s="4" t="s">
        <v>27</v>
      </c>
      <c r="C5" s="75">
        <v>28103.53</v>
      </c>
      <c r="D5" s="67">
        <v>28501.647929999999</v>
      </c>
    </row>
    <row r="6" spans="2:4" x14ac:dyDescent="0.25">
      <c r="B6" s="4" t="s">
        <v>28</v>
      </c>
      <c r="C6" s="75">
        <v>2201.17</v>
      </c>
      <c r="D6" s="67">
        <v>1302.2398000000001</v>
      </c>
    </row>
    <row r="7" spans="2:4" x14ac:dyDescent="0.25">
      <c r="B7" s="4" t="s">
        <v>29</v>
      </c>
      <c r="C7" s="75">
        <v>0</v>
      </c>
      <c r="D7" s="67">
        <v>0</v>
      </c>
    </row>
    <row r="8" spans="2:4" x14ac:dyDescent="0.25">
      <c r="B8" s="4" t="s">
        <v>30</v>
      </c>
      <c r="C8" s="75">
        <v>0</v>
      </c>
      <c r="D8" s="67">
        <v>0</v>
      </c>
    </row>
    <row r="9" spans="2:4" x14ac:dyDescent="0.25">
      <c r="B9" s="4" t="s">
        <v>31</v>
      </c>
      <c r="C9" s="75">
        <v>0</v>
      </c>
      <c r="D9" s="67">
        <v>0</v>
      </c>
    </row>
    <row r="10" spans="2:4" x14ac:dyDescent="0.25">
      <c r="B10" s="4" t="s">
        <v>32</v>
      </c>
      <c r="C10" s="75">
        <v>0</v>
      </c>
      <c r="D10" s="67">
        <v>0</v>
      </c>
    </row>
    <row r="11" spans="2:4" x14ac:dyDescent="0.25">
      <c r="B11" s="4" t="s">
        <v>33</v>
      </c>
      <c r="C11" s="75">
        <v>110.681</v>
      </c>
      <c r="D11" s="67">
        <v>110.681</v>
      </c>
    </row>
    <row r="12" spans="2:4" x14ac:dyDescent="0.25">
      <c r="B12" s="4" t="s">
        <v>34</v>
      </c>
      <c r="C12" s="75">
        <v>0</v>
      </c>
      <c r="D12" s="67">
        <v>0</v>
      </c>
    </row>
    <row r="13" spans="2:4" x14ac:dyDescent="0.25">
      <c r="B13" s="13" t="s">
        <v>35</v>
      </c>
      <c r="C13" s="97">
        <f>SUM(C14:C22)</f>
        <v>46080.51999999999</v>
      </c>
      <c r="D13" s="77">
        <f>SUM(D14:D22)</f>
        <v>45285.554770000002</v>
      </c>
    </row>
    <row r="14" spans="2:4" x14ac:dyDescent="0.25">
      <c r="B14" s="4" t="s">
        <v>36</v>
      </c>
      <c r="C14" s="75">
        <v>24494.62</v>
      </c>
      <c r="D14" s="67">
        <v>25115.12902</v>
      </c>
    </row>
    <row r="15" spans="2:4" x14ac:dyDescent="0.25">
      <c r="B15" s="4" t="s">
        <v>37</v>
      </c>
      <c r="C15" s="75">
        <v>18282.72</v>
      </c>
      <c r="D15" s="67">
        <f>22346.37111-5863.15</f>
        <v>16483.221109999999</v>
      </c>
    </row>
    <row r="16" spans="2:4" x14ac:dyDescent="0.25">
      <c r="B16" s="4" t="s">
        <v>38</v>
      </c>
      <c r="C16" s="75">
        <v>0</v>
      </c>
      <c r="D16" s="67">
        <v>0</v>
      </c>
    </row>
    <row r="17" spans="2:4" x14ac:dyDescent="0.25">
      <c r="B17" s="4" t="s">
        <v>39</v>
      </c>
      <c r="C17" s="75">
        <f>1012.74+896.22</f>
        <v>1908.96</v>
      </c>
      <c r="D17" s="67">
        <v>740.13513</v>
      </c>
    </row>
    <row r="18" spans="2:4" x14ac:dyDescent="0.25">
      <c r="B18" s="4" t="s">
        <v>40</v>
      </c>
      <c r="C18" s="75">
        <v>0</v>
      </c>
      <c r="D18" s="67">
        <v>0</v>
      </c>
    </row>
    <row r="19" spans="2:4" ht="22.5" x14ac:dyDescent="0.25">
      <c r="B19" s="4" t="s">
        <v>41</v>
      </c>
      <c r="C19" s="75">
        <v>0</v>
      </c>
      <c r="D19" s="67">
        <v>0</v>
      </c>
    </row>
    <row r="20" spans="2:4" x14ac:dyDescent="0.25">
      <c r="B20" s="4" t="s">
        <v>32</v>
      </c>
      <c r="C20" s="75">
        <v>0</v>
      </c>
      <c r="D20" s="67">
        <v>0</v>
      </c>
    </row>
    <row r="21" spans="2:4" x14ac:dyDescent="0.25">
      <c r="B21" s="4" t="s">
        <v>42</v>
      </c>
      <c r="C21" s="75">
        <v>1148.77</v>
      </c>
      <c r="D21" s="67">
        <v>1982.2024299999998</v>
      </c>
    </row>
    <row r="22" spans="2:4" x14ac:dyDescent="0.25">
      <c r="B22" s="4" t="s">
        <v>43</v>
      </c>
      <c r="C22" s="75">
        <v>245.45</v>
      </c>
      <c r="D22" s="67">
        <v>964.86707999999999</v>
      </c>
    </row>
    <row r="23" spans="2:4" x14ac:dyDescent="0.25">
      <c r="B23" s="13" t="s">
        <v>44</v>
      </c>
      <c r="C23" s="97">
        <v>0</v>
      </c>
      <c r="D23" s="77">
        <v>0</v>
      </c>
    </row>
    <row r="24" spans="2:4" ht="15.75" thickBot="1" x14ac:dyDescent="0.3">
      <c r="B24" s="14" t="s">
        <v>45</v>
      </c>
      <c r="C24" s="98">
        <f>C4+C13</f>
        <v>76495.900999999983</v>
      </c>
      <c r="D24" s="78">
        <f>D13+D4</f>
        <v>75200.123500000002</v>
      </c>
    </row>
    <row r="25" spans="2:4" ht="16.5" thickTop="1" thickBot="1" x14ac:dyDescent="0.3"/>
    <row r="26" spans="2:4" ht="16.5" thickTop="1" thickBot="1" x14ac:dyDescent="0.3">
      <c r="C26" s="187" t="s">
        <v>25</v>
      </c>
      <c r="D26" s="188"/>
    </row>
    <row r="27" spans="2:4" ht="23.25" thickTop="1" x14ac:dyDescent="0.25">
      <c r="B27" s="1" t="s">
        <v>47</v>
      </c>
      <c r="C27" s="64" t="s">
        <v>166</v>
      </c>
      <c r="D27" s="10" t="s">
        <v>167</v>
      </c>
    </row>
    <row r="28" spans="2:4" x14ac:dyDescent="0.25">
      <c r="B28" s="13" t="s">
        <v>48</v>
      </c>
      <c r="C28" s="99">
        <f>SUM(C29:C37)</f>
        <v>38151.810000000005</v>
      </c>
      <c r="D28" s="79">
        <f>SUM(D29:D37)</f>
        <v>36144.476479999998</v>
      </c>
    </row>
    <row r="29" spans="2:4" x14ac:dyDescent="0.25">
      <c r="B29" s="4" t="s">
        <v>49</v>
      </c>
      <c r="C29" s="100">
        <v>29000</v>
      </c>
      <c r="D29" s="80">
        <v>28200</v>
      </c>
    </row>
    <row r="30" spans="2:4" x14ac:dyDescent="0.25">
      <c r="B30" s="4" t="s">
        <v>50</v>
      </c>
      <c r="C30" s="100">
        <v>0</v>
      </c>
      <c r="D30" s="80">
        <v>0</v>
      </c>
    </row>
    <row r="31" spans="2:4" x14ac:dyDescent="0.25">
      <c r="B31" s="4" t="s">
        <v>51</v>
      </c>
      <c r="C31" s="100">
        <v>0</v>
      </c>
      <c r="D31" s="80">
        <v>0</v>
      </c>
    </row>
    <row r="32" spans="2:4" x14ac:dyDescent="0.25">
      <c r="B32" s="4" t="s">
        <v>52</v>
      </c>
      <c r="C32" s="100">
        <f>7006.83-305.5</f>
        <v>6701.33</v>
      </c>
      <c r="D32" s="80">
        <v>6590.3238000000001</v>
      </c>
    </row>
    <row r="33" spans="2:4" x14ac:dyDescent="0.25">
      <c r="B33" s="4" t="s">
        <v>53</v>
      </c>
      <c r="C33" s="100">
        <v>0</v>
      </c>
      <c r="D33" s="80">
        <v>0</v>
      </c>
    </row>
    <row r="34" spans="2:4" x14ac:dyDescent="0.25">
      <c r="B34" s="4" t="s">
        <v>54</v>
      </c>
      <c r="C34" s="100">
        <v>0</v>
      </c>
      <c r="D34" s="80">
        <v>0</v>
      </c>
    </row>
    <row r="35" spans="2:4" x14ac:dyDescent="0.25">
      <c r="B35" s="4" t="s">
        <v>55</v>
      </c>
      <c r="C35" s="100">
        <v>0</v>
      </c>
      <c r="D35" s="80">
        <v>0</v>
      </c>
    </row>
    <row r="36" spans="2:4" x14ac:dyDescent="0.25">
      <c r="B36" s="4" t="s">
        <v>56</v>
      </c>
      <c r="C36" s="100">
        <v>2450.48</v>
      </c>
      <c r="D36" s="80">
        <v>1354.1526799999999</v>
      </c>
    </row>
    <row r="37" spans="2:4" x14ac:dyDescent="0.25">
      <c r="B37" s="4" t="s">
        <v>57</v>
      </c>
      <c r="C37" s="100">
        <v>0</v>
      </c>
      <c r="D37" s="80">
        <v>0</v>
      </c>
    </row>
    <row r="38" spans="2:4" x14ac:dyDescent="0.25">
      <c r="B38" s="13" t="s">
        <v>58</v>
      </c>
      <c r="C38" s="99">
        <f>SUM(C39:C45)</f>
        <v>4150.5599999999995</v>
      </c>
      <c r="D38" s="79">
        <f>SUM(D39:D45)</f>
        <v>4734.7237599999999</v>
      </c>
    </row>
    <row r="39" spans="2:4" x14ac:dyDescent="0.25">
      <c r="B39" s="4" t="s">
        <v>59</v>
      </c>
      <c r="C39" s="100">
        <v>1351.28</v>
      </c>
      <c r="D39" s="80">
        <f>7062.30442-4951.18</f>
        <v>2111.1244200000001</v>
      </c>
    </row>
    <row r="40" spans="2:4" x14ac:dyDescent="0.25">
      <c r="B40" s="4" t="s">
        <v>60</v>
      </c>
      <c r="C40" s="100">
        <v>1593.87</v>
      </c>
      <c r="D40" s="80">
        <f>881.50929+800</f>
        <v>1681.50929</v>
      </c>
    </row>
    <row r="41" spans="2:4" x14ac:dyDescent="0.25">
      <c r="B41" s="4" t="s">
        <v>61</v>
      </c>
      <c r="C41" s="100">
        <v>0</v>
      </c>
      <c r="D41" s="80">
        <v>0</v>
      </c>
    </row>
    <row r="42" spans="2:4" x14ac:dyDescent="0.25">
      <c r="B42" s="4" t="s">
        <v>62</v>
      </c>
      <c r="C42" s="100">
        <v>151.47999999999999</v>
      </c>
      <c r="D42" s="80">
        <v>143.83099999999999</v>
      </c>
    </row>
    <row r="43" spans="2:4" x14ac:dyDescent="0.25">
      <c r="B43" s="4" t="s">
        <v>63</v>
      </c>
      <c r="C43" s="100">
        <v>421.81</v>
      </c>
      <c r="D43" s="80">
        <v>563.84516000000008</v>
      </c>
    </row>
    <row r="44" spans="2:4" x14ac:dyDescent="0.25">
      <c r="B44" s="4" t="s">
        <v>64</v>
      </c>
      <c r="C44" s="100">
        <v>82.24</v>
      </c>
      <c r="D44" s="80">
        <v>234.41389000000001</v>
      </c>
    </row>
    <row r="45" spans="2:4" x14ac:dyDescent="0.25">
      <c r="B45" s="4" t="s">
        <v>65</v>
      </c>
      <c r="C45" s="100">
        <v>549.88</v>
      </c>
      <c r="D45" s="80">
        <v>0</v>
      </c>
    </row>
    <row r="46" spans="2:4" x14ac:dyDescent="0.25">
      <c r="B46" s="13" t="s">
        <v>66</v>
      </c>
      <c r="C46" s="99">
        <f>SUM(C47:C55)</f>
        <v>34193.530000000006</v>
      </c>
      <c r="D46" s="79">
        <f>SUM(D47:D55)</f>
        <v>34320.923260000003</v>
      </c>
    </row>
    <row r="47" spans="2:4" x14ac:dyDescent="0.25">
      <c r="B47" s="4" t="s">
        <v>59</v>
      </c>
      <c r="C47" s="100">
        <v>12392.78</v>
      </c>
      <c r="D47" s="80">
        <f>5173.65613+4951.18</f>
        <v>10124.83613</v>
      </c>
    </row>
    <row r="48" spans="2:4" x14ac:dyDescent="0.25">
      <c r="B48" s="4" t="s">
        <v>60</v>
      </c>
      <c r="C48" s="100">
        <v>2974.96</v>
      </c>
      <c r="D48" s="80">
        <f>610.2291+3159.34+690.87</f>
        <v>4460.4391000000005</v>
      </c>
    </row>
    <row r="49" spans="2:4" x14ac:dyDescent="0.25">
      <c r="B49" s="4" t="s">
        <v>67</v>
      </c>
      <c r="C49" s="100">
        <v>13689.92</v>
      </c>
      <c r="D49" s="80">
        <f>26342.83944-3159.34-690.87-800-5863.15</f>
        <v>15829.479440000001</v>
      </c>
    </row>
    <row r="50" spans="2:4" x14ac:dyDescent="0.25">
      <c r="B50" s="15" t="s">
        <v>68</v>
      </c>
      <c r="C50" s="100">
        <v>0</v>
      </c>
      <c r="D50" s="80">
        <v>0</v>
      </c>
    </row>
    <row r="51" spans="2:4" x14ac:dyDescent="0.25">
      <c r="B51" s="4" t="s">
        <v>69</v>
      </c>
      <c r="C51" s="100">
        <f>1654.64+1683.47+75.29</f>
        <v>3413.4</v>
      </c>
      <c r="D51" s="80">
        <v>2549.1380600000002</v>
      </c>
    </row>
    <row r="52" spans="2:4" x14ac:dyDescent="0.25">
      <c r="B52" s="4" t="s">
        <v>63</v>
      </c>
      <c r="C52" s="100">
        <v>135.86000000000001</v>
      </c>
      <c r="D52" s="80">
        <v>181.60379</v>
      </c>
    </row>
    <row r="53" spans="2:4" x14ac:dyDescent="0.25">
      <c r="B53" s="4" t="s">
        <v>64</v>
      </c>
      <c r="C53" s="100">
        <v>167.86</v>
      </c>
      <c r="D53" s="80">
        <v>160.04</v>
      </c>
    </row>
    <row r="54" spans="2:4" x14ac:dyDescent="0.25">
      <c r="B54" s="4" t="s">
        <v>65</v>
      </c>
      <c r="C54" s="100">
        <v>1418.75</v>
      </c>
      <c r="D54" s="80">
        <f>1175.42674-160.04</f>
        <v>1015.3867400000001</v>
      </c>
    </row>
    <row r="55" spans="2:4" ht="23.25" x14ac:dyDescent="0.25">
      <c r="B55" s="16" t="s">
        <v>70</v>
      </c>
      <c r="C55" s="100">
        <v>0</v>
      </c>
      <c r="D55" s="80">
        <v>0</v>
      </c>
    </row>
    <row r="56" spans="2:4" x14ac:dyDescent="0.25">
      <c r="B56" s="12" t="s">
        <v>71</v>
      </c>
      <c r="C56" s="99">
        <f>C28+C38+C46</f>
        <v>76495.900000000009</v>
      </c>
      <c r="D56" s="79">
        <f>D46+D38+D28</f>
        <v>75200.123500000002</v>
      </c>
    </row>
    <row r="57" spans="2:4" ht="15.75" thickBot="1" x14ac:dyDescent="0.3">
      <c r="B57" s="27" t="s">
        <v>178</v>
      </c>
      <c r="C57" s="116">
        <f>C56*1000/58000</f>
        <v>1318.8948275862072</v>
      </c>
      <c r="D57" s="117">
        <f>D56*1000/56400</f>
        <v>1333.3355230496454</v>
      </c>
    </row>
    <row r="58" spans="2:4" ht="15.75" thickTop="1" x14ac:dyDescent="0.25">
      <c r="C58" s="118"/>
      <c r="D58" s="118"/>
    </row>
  </sheetData>
  <mergeCells count="2">
    <mergeCell ref="C2:D2"/>
    <mergeCell ref="C26:D26"/>
  </mergeCells>
  <pageMargins left="0.70866141732283472" right="0.70866141732283472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E23" sqref="E23"/>
    </sheetView>
  </sheetViews>
  <sheetFormatPr defaultRowHeight="15" x14ac:dyDescent="0.25"/>
  <cols>
    <col min="2" max="2" width="32.42578125" customWidth="1"/>
    <col min="3" max="3" width="11" style="46" customWidth="1"/>
    <col min="4" max="4" width="17.28515625" style="46" customWidth="1"/>
    <col min="5" max="5" width="11" style="46" customWidth="1"/>
    <col min="6" max="6" width="12" style="46" customWidth="1"/>
    <col min="7" max="7" width="11" style="46" customWidth="1"/>
    <col min="8" max="8" width="15.28515625" style="46" customWidth="1"/>
    <col min="9" max="9" width="12" style="46" customWidth="1"/>
  </cols>
  <sheetData>
    <row r="1" spans="2:12" ht="15.75" thickBot="1" x14ac:dyDescent="0.3"/>
    <row r="2" spans="2:12" ht="16.5" thickTop="1" thickBot="1" x14ac:dyDescent="0.3">
      <c r="C2" s="187" t="s">
        <v>25</v>
      </c>
      <c r="D2" s="192"/>
      <c r="E2" s="192"/>
      <c r="F2" s="192"/>
      <c r="G2" s="192"/>
      <c r="H2" s="192"/>
      <c r="I2" s="188"/>
    </row>
    <row r="3" spans="2:12" ht="45.75" thickTop="1" x14ac:dyDescent="0.25">
      <c r="B3" s="19"/>
      <c r="C3" s="61" t="s">
        <v>49</v>
      </c>
      <c r="D3" s="61" t="s">
        <v>80</v>
      </c>
      <c r="E3" s="61" t="s">
        <v>52</v>
      </c>
      <c r="F3" s="61" t="s">
        <v>53</v>
      </c>
      <c r="G3" s="61" t="s">
        <v>56</v>
      </c>
      <c r="H3" s="61" t="s">
        <v>81</v>
      </c>
      <c r="I3" s="62" t="s">
        <v>82</v>
      </c>
      <c r="K3" s="43"/>
    </row>
    <row r="4" spans="2:12" ht="15" customHeight="1" x14ac:dyDescent="0.25">
      <c r="B4" s="189" t="s">
        <v>168</v>
      </c>
      <c r="C4" s="190"/>
      <c r="D4" s="190"/>
      <c r="E4" s="190"/>
      <c r="F4" s="190"/>
      <c r="G4" s="190"/>
      <c r="H4" s="190"/>
      <c r="I4" s="191"/>
      <c r="K4" s="43"/>
    </row>
    <row r="5" spans="2:12" x14ac:dyDescent="0.25">
      <c r="B5" s="22" t="s">
        <v>160</v>
      </c>
      <c r="C5" s="81">
        <f>C27</f>
        <v>28200</v>
      </c>
      <c r="D5" s="81">
        <f t="shared" ref="D5" si="0">D27</f>
        <v>0</v>
      </c>
      <c r="E5" s="81">
        <f>5864.96-305.49</f>
        <v>5559.47</v>
      </c>
      <c r="F5" s="81">
        <v>1841.86</v>
      </c>
      <c r="G5" s="81">
        <v>0</v>
      </c>
      <c r="H5" s="81">
        <f>SUM(C5:G5)</f>
        <v>35601.33</v>
      </c>
      <c r="I5" s="81">
        <f>H5</f>
        <v>35601.33</v>
      </c>
      <c r="K5" s="43"/>
    </row>
    <row r="6" spans="2:12" x14ac:dyDescent="0.25">
      <c r="B6" s="20" t="s">
        <v>83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4">
        <v>0</v>
      </c>
      <c r="K6" s="43"/>
    </row>
    <row r="7" spans="2:12" x14ac:dyDescent="0.25">
      <c r="B7" s="20" t="s">
        <v>84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4">
        <v>0</v>
      </c>
      <c r="K7" s="43"/>
      <c r="L7" s="43"/>
    </row>
    <row r="8" spans="2:12" x14ac:dyDescent="0.25">
      <c r="B8" s="22" t="s">
        <v>85</v>
      </c>
      <c r="C8" s="81">
        <f>C5+C6+C7</f>
        <v>28200</v>
      </c>
      <c r="D8" s="81">
        <f t="shared" ref="D8:I8" si="1">D5+D6+D7</f>
        <v>0</v>
      </c>
      <c r="E8" s="81">
        <f t="shared" si="1"/>
        <v>5559.47</v>
      </c>
      <c r="F8" s="81">
        <f t="shared" si="1"/>
        <v>1841.86</v>
      </c>
      <c r="G8" s="81">
        <f t="shared" si="1"/>
        <v>0</v>
      </c>
      <c r="H8" s="81">
        <f>H5+H6+H7</f>
        <v>35601.33</v>
      </c>
      <c r="I8" s="81">
        <f t="shared" si="1"/>
        <v>35601.33</v>
      </c>
      <c r="K8" s="43"/>
    </row>
    <row r="9" spans="2:12" x14ac:dyDescent="0.25">
      <c r="B9" s="20" t="s">
        <v>86</v>
      </c>
      <c r="C9" s="83">
        <v>800</v>
      </c>
      <c r="D9" s="83">
        <v>0</v>
      </c>
      <c r="E9" s="83">
        <v>0</v>
      </c>
      <c r="F9" s="83">
        <v>0</v>
      </c>
      <c r="G9" s="83">
        <v>0</v>
      </c>
      <c r="H9" s="83">
        <f t="shared" ref="H9:H11" si="2">SUM(C9:G9)</f>
        <v>800</v>
      </c>
      <c r="I9" s="84">
        <f t="shared" ref="I9:I11" si="3">H9</f>
        <v>800</v>
      </c>
      <c r="K9" s="43"/>
    </row>
    <row r="10" spans="2:12" x14ac:dyDescent="0.25">
      <c r="B10" s="20" t="s">
        <v>87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f t="shared" si="2"/>
        <v>0</v>
      </c>
      <c r="I10" s="84">
        <f t="shared" si="3"/>
        <v>0</v>
      </c>
      <c r="K10" s="43"/>
    </row>
    <row r="11" spans="2:12" x14ac:dyDescent="0.25">
      <c r="B11" s="20" t="s">
        <v>88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f t="shared" si="2"/>
        <v>0</v>
      </c>
      <c r="I11" s="84">
        <f t="shared" si="3"/>
        <v>0</v>
      </c>
      <c r="K11" s="43"/>
    </row>
    <row r="12" spans="2:12" x14ac:dyDescent="0.25">
      <c r="B12" s="21" t="s">
        <v>89</v>
      </c>
      <c r="C12" s="83">
        <v>0</v>
      </c>
      <c r="D12" s="83">
        <v>0</v>
      </c>
      <c r="E12" s="83">
        <v>1841.86</v>
      </c>
      <c r="F12" s="83">
        <v>-1841.86</v>
      </c>
      <c r="G12" s="83">
        <f>'RZiS LLF'!E27</f>
        <v>2450.4799999999932</v>
      </c>
      <c r="H12" s="83">
        <f>SUM(C12:G12)</f>
        <v>2450.4799999999932</v>
      </c>
      <c r="I12" s="84">
        <f>H12</f>
        <v>2450.4799999999932</v>
      </c>
      <c r="K12" s="43"/>
    </row>
    <row r="13" spans="2:12" x14ac:dyDescent="0.25">
      <c r="B13" s="20" t="s">
        <v>90</v>
      </c>
      <c r="C13" s="83">
        <v>0</v>
      </c>
      <c r="D13" s="83">
        <v>0</v>
      </c>
      <c r="E13" s="83">
        <v>-700</v>
      </c>
      <c r="F13" s="83">
        <v>0</v>
      </c>
      <c r="G13" s="83">
        <v>0</v>
      </c>
      <c r="H13" s="83">
        <f>SUM(C13:G13)</f>
        <v>-700</v>
      </c>
      <c r="I13" s="84">
        <f>H13</f>
        <v>-700</v>
      </c>
    </row>
    <row r="14" spans="2:12" x14ac:dyDescent="0.25">
      <c r="B14" s="20" t="s">
        <v>91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4">
        <v>0</v>
      </c>
    </row>
    <row r="15" spans="2:12" x14ac:dyDescent="0.25">
      <c r="B15" s="22" t="s">
        <v>169</v>
      </c>
      <c r="C15" s="81">
        <f>SUM(C8:C14)</f>
        <v>29000</v>
      </c>
      <c r="D15" s="81">
        <f t="shared" ref="D15:I15" si="4">SUM(D8:D14)</f>
        <v>0</v>
      </c>
      <c r="E15" s="81">
        <f t="shared" si="4"/>
        <v>6701.33</v>
      </c>
      <c r="F15" s="81">
        <f t="shared" si="4"/>
        <v>0</v>
      </c>
      <c r="G15" s="81">
        <f t="shared" si="4"/>
        <v>2450.4799999999932</v>
      </c>
      <c r="H15" s="81">
        <f>SUM(H8:H14)</f>
        <v>38151.81</v>
      </c>
      <c r="I15" s="81">
        <f t="shared" si="4"/>
        <v>38151.81</v>
      </c>
      <c r="J15" s="43"/>
      <c r="K15" s="43"/>
    </row>
    <row r="16" spans="2:12" ht="15" customHeight="1" x14ac:dyDescent="0.25">
      <c r="B16" s="189" t="s">
        <v>170</v>
      </c>
      <c r="C16" s="190"/>
      <c r="D16" s="190"/>
      <c r="E16" s="190"/>
      <c r="F16" s="190"/>
      <c r="G16" s="190"/>
      <c r="H16" s="190"/>
      <c r="I16" s="191"/>
    </row>
    <row r="17" spans="2:11" x14ac:dyDescent="0.25">
      <c r="B17" s="22" t="s">
        <v>161</v>
      </c>
      <c r="C17" s="81">
        <v>28200</v>
      </c>
      <c r="D17" s="81">
        <v>0</v>
      </c>
      <c r="E17" s="81">
        <v>4453.3</v>
      </c>
      <c r="F17" s="81">
        <v>2837.02</v>
      </c>
      <c r="G17" s="81">
        <v>0</v>
      </c>
      <c r="H17" s="81">
        <f>SUM(C17:G17)</f>
        <v>35490.32</v>
      </c>
      <c r="I17" s="82">
        <f>H17</f>
        <v>35490.32</v>
      </c>
    </row>
    <row r="18" spans="2:11" x14ac:dyDescent="0.25">
      <c r="B18" s="20" t="s">
        <v>83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f>SUM(C18:G18)</f>
        <v>0</v>
      </c>
      <c r="I18" s="84">
        <v>0</v>
      </c>
    </row>
    <row r="19" spans="2:11" x14ac:dyDescent="0.25">
      <c r="B19" s="20" t="s">
        <v>84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f>SUM(C19:G19)</f>
        <v>0</v>
      </c>
      <c r="I19" s="84">
        <f>H19</f>
        <v>0</v>
      </c>
    </row>
    <row r="20" spans="2:11" x14ac:dyDescent="0.25">
      <c r="B20" s="22" t="s">
        <v>85</v>
      </c>
      <c r="C20" s="81">
        <v>28200</v>
      </c>
      <c r="D20" s="81">
        <v>0</v>
      </c>
      <c r="E20" s="81">
        <f t="shared" ref="E20:F20" si="5">E17+E18+E19</f>
        <v>4453.3</v>
      </c>
      <c r="F20" s="81">
        <f t="shared" si="5"/>
        <v>2837.02</v>
      </c>
      <c r="G20" s="81">
        <v>0</v>
      </c>
      <c r="H20" s="81">
        <f>H17+H18+H19</f>
        <v>35490.32</v>
      </c>
      <c r="I20" s="81">
        <f>I17+I18+I19</f>
        <v>35490.32</v>
      </c>
    </row>
    <row r="21" spans="2:11" x14ac:dyDescent="0.25">
      <c r="B21" s="20" t="s">
        <v>86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f>SUM(C21:G21)</f>
        <v>0</v>
      </c>
      <c r="I21" s="84">
        <f>H21</f>
        <v>0</v>
      </c>
    </row>
    <row r="22" spans="2:11" x14ac:dyDescent="0.25">
      <c r="B22" s="20" t="s">
        <v>87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f t="shared" ref="H22:H26" si="6">SUM(C22:G22)</f>
        <v>0</v>
      </c>
      <c r="I22" s="84">
        <f t="shared" ref="I22:I25" si="7">H22</f>
        <v>0</v>
      </c>
    </row>
    <row r="23" spans="2:11" x14ac:dyDescent="0.25">
      <c r="B23" s="20" t="s">
        <v>88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f t="shared" si="6"/>
        <v>0</v>
      </c>
      <c r="I23" s="84">
        <f t="shared" si="7"/>
        <v>0</v>
      </c>
    </row>
    <row r="24" spans="2:11" x14ac:dyDescent="0.25">
      <c r="B24" s="21" t="s">
        <v>89</v>
      </c>
      <c r="C24" s="83">
        <v>0</v>
      </c>
      <c r="D24" s="83">
        <v>0</v>
      </c>
      <c r="E24" s="83">
        <v>2837.02</v>
      </c>
      <c r="F24" s="83">
        <v>-2837.02</v>
      </c>
      <c r="G24" s="83">
        <f>'RZiS LLF'!F27</f>
        <v>1354.1526799999974</v>
      </c>
      <c r="H24" s="83">
        <f t="shared" si="6"/>
        <v>1354.1526799999974</v>
      </c>
      <c r="I24" s="84">
        <f t="shared" si="7"/>
        <v>1354.1526799999974</v>
      </c>
    </row>
    <row r="25" spans="2:11" x14ac:dyDescent="0.25">
      <c r="B25" s="20" t="s">
        <v>90</v>
      </c>
      <c r="C25" s="83">
        <v>0</v>
      </c>
      <c r="D25" s="83">
        <v>0</v>
      </c>
      <c r="E25" s="83">
        <v>-700</v>
      </c>
      <c r="F25" s="83">
        <v>0</v>
      </c>
      <c r="G25" s="83">
        <v>0</v>
      </c>
      <c r="H25" s="83">
        <f t="shared" si="6"/>
        <v>-700</v>
      </c>
      <c r="I25" s="84">
        <f t="shared" si="7"/>
        <v>-700</v>
      </c>
    </row>
    <row r="26" spans="2:11" x14ac:dyDescent="0.25">
      <c r="B26" s="20" t="s">
        <v>91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f t="shared" si="6"/>
        <v>0</v>
      </c>
      <c r="I26" s="84">
        <f t="shared" ref="I26" si="8">SUM(C26:H26)</f>
        <v>0</v>
      </c>
    </row>
    <row r="27" spans="2:11" ht="15.75" thickBot="1" x14ac:dyDescent="0.3">
      <c r="B27" s="65" t="s">
        <v>171</v>
      </c>
      <c r="C27" s="85">
        <f>SUM(C20:C26)</f>
        <v>28200</v>
      </c>
      <c r="D27" s="85">
        <f t="shared" ref="D27:H27" si="9">SUM(D20:D26)</f>
        <v>0</v>
      </c>
      <c r="E27" s="85">
        <f t="shared" si="9"/>
        <v>6590.32</v>
      </c>
      <c r="F27" s="85">
        <f t="shared" si="9"/>
        <v>0</v>
      </c>
      <c r="G27" s="85">
        <f t="shared" si="9"/>
        <v>1354.1526799999974</v>
      </c>
      <c r="H27" s="85">
        <f t="shared" si="9"/>
        <v>36144.472679999999</v>
      </c>
      <c r="I27" s="86">
        <f>H27</f>
        <v>36144.472679999999</v>
      </c>
      <c r="J27" s="43"/>
      <c r="K27" s="43"/>
    </row>
    <row r="28" spans="2:11" ht="15.75" thickTop="1" x14ac:dyDescent="0.25"/>
  </sheetData>
  <mergeCells count="3">
    <mergeCell ref="B4:I4"/>
    <mergeCell ref="B16:I16"/>
    <mergeCell ref="C2:I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Normal="100" workbookViewId="0">
      <selection activeCell="L12" sqref="L12"/>
    </sheetView>
  </sheetViews>
  <sheetFormatPr defaultRowHeight="15" x14ac:dyDescent="0.25"/>
  <cols>
    <col min="1" max="1" width="2.85546875" customWidth="1"/>
    <col min="2" max="2" width="45.85546875" customWidth="1"/>
    <col min="3" max="3" width="15" style="113" customWidth="1"/>
    <col min="4" max="4" width="15.140625" style="113" customWidth="1"/>
    <col min="5" max="5" width="15" style="119" bestFit="1" customWidth="1"/>
    <col min="6" max="6" width="14.140625" style="56" customWidth="1"/>
    <col min="7" max="7" width="18" customWidth="1"/>
  </cols>
  <sheetData>
    <row r="1" spans="2:7" x14ac:dyDescent="0.25">
      <c r="B1" s="115"/>
    </row>
    <row r="2" spans="2:7" ht="15.75" thickBot="1" x14ac:dyDescent="0.3">
      <c r="B2" s="47"/>
      <c r="C2" s="193" t="s">
        <v>25</v>
      </c>
      <c r="D2" s="194"/>
      <c r="E2" s="194"/>
      <c r="F2" s="195"/>
    </row>
    <row r="3" spans="2:7" ht="34.5" thickTop="1" x14ac:dyDescent="0.25">
      <c r="B3" s="48"/>
      <c r="C3" s="175" t="s">
        <v>162</v>
      </c>
      <c r="D3" s="175" t="s">
        <v>163</v>
      </c>
      <c r="E3" s="174" t="s">
        <v>164</v>
      </c>
      <c r="F3" s="173" t="s">
        <v>165</v>
      </c>
    </row>
    <row r="4" spans="2:7" x14ac:dyDescent="0.25">
      <c r="B4" s="49" t="s">
        <v>124</v>
      </c>
      <c r="C4" s="144"/>
      <c r="D4" s="144"/>
      <c r="E4" s="145"/>
      <c r="F4" s="154"/>
    </row>
    <row r="5" spans="2:7" x14ac:dyDescent="0.25">
      <c r="B5" s="50" t="s">
        <v>131</v>
      </c>
      <c r="C5" s="146">
        <v>699.77999999999201</v>
      </c>
      <c r="D5" s="146">
        <v>131.23268000000104</v>
      </c>
      <c r="E5" s="146">
        <v>2450.4799999999932</v>
      </c>
      <c r="F5" s="147">
        <v>1354.15</v>
      </c>
    </row>
    <row r="6" spans="2:7" x14ac:dyDescent="0.25">
      <c r="B6" s="50" t="s">
        <v>132</v>
      </c>
      <c r="C6" s="146">
        <v>178.01999999999998</v>
      </c>
      <c r="D6" s="146">
        <v>2307.62</v>
      </c>
      <c r="E6" s="146">
        <v>-3377.2897999999986</v>
      </c>
      <c r="F6" s="146">
        <v>2728.3900000000003</v>
      </c>
      <c r="G6" s="51"/>
    </row>
    <row r="7" spans="2:7" ht="22.5" x14ac:dyDescent="0.25">
      <c r="B7" s="52" t="s">
        <v>133</v>
      </c>
      <c r="C7" s="148">
        <v>828.08</v>
      </c>
      <c r="D7" s="148">
        <v>813.92</v>
      </c>
      <c r="E7" s="148">
        <v>2414.4702000000002</v>
      </c>
      <c r="F7" s="149">
        <v>2314.8000000000002</v>
      </c>
      <c r="G7" s="53"/>
    </row>
    <row r="8" spans="2:7" x14ac:dyDescent="0.25">
      <c r="B8" s="52" t="s">
        <v>134</v>
      </c>
      <c r="C8" s="148">
        <v>0</v>
      </c>
      <c r="D8" s="148">
        <v>87.28</v>
      </c>
      <c r="E8" s="148">
        <v>47.82</v>
      </c>
      <c r="F8" s="149">
        <v>103.26</v>
      </c>
    </row>
    <row r="9" spans="2:7" x14ac:dyDescent="0.25">
      <c r="B9" s="52" t="s">
        <v>135</v>
      </c>
      <c r="C9" s="148">
        <v>-71.42</v>
      </c>
      <c r="D9" s="148">
        <v>-450.91</v>
      </c>
      <c r="E9" s="148">
        <v>372.05</v>
      </c>
      <c r="F9" s="149">
        <v>0</v>
      </c>
    </row>
    <row r="10" spans="2:7" x14ac:dyDescent="0.25">
      <c r="B10" s="52" t="s">
        <v>136</v>
      </c>
      <c r="C10" s="148">
        <v>0</v>
      </c>
      <c r="D10" s="148">
        <v>-0.11</v>
      </c>
      <c r="E10" s="148">
        <v>0</v>
      </c>
      <c r="F10" s="149">
        <v>0</v>
      </c>
    </row>
    <row r="11" spans="2:7" x14ac:dyDescent="0.25">
      <c r="B11" s="52" t="s">
        <v>137</v>
      </c>
      <c r="C11" s="148">
        <v>-1218.47</v>
      </c>
      <c r="D11" s="148">
        <v>184.43</v>
      </c>
      <c r="E11" s="148">
        <v>842.2700000000001</v>
      </c>
      <c r="F11" s="149">
        <v>473.28</v>
      </c>
    </row>
    <row r="12" spans="2:7" x14ac:dyDescent="0.25">
      <c r="B12" s="52" t="s">
        <v>138</v>
      </c>
      <c r="C12" s="148">
        <v>585.11</v>
      </c>
      <c r="D12" s="148">
        <v>-226.27</v>
      </c>
      <c r="E12" s="148">
        <v>2730.6000000000022</v>
      </c>
      <c r="F12" s="149">
        <v>-3657.07</v>
      </c>
    </row>
    <row r="13" spans="2:7" x14ac:dyDescent="0.25">
      <c r="B13" s="52" t="s">
        <v>139</v>
      </c>
      <c r="C13" s="148">
        <v>-1889.18</v>
      </c>
      <c r="D13" s="148">
        <v>-7645.84</v>
      </c>
      <c r="E13" s="148">
        <v>-740.21</v>
      </c>
      <c r="F13" s="149">
        <v>-834.48</v>
      </c>
    </row>
    <row r="14" spans="2:7" ht="22.5" x14ac:dyDescent="0.25">
      <c r="B14" s="52" t="s">
        <v>140</v>
      </c>
      <c r="C14" s="148">
        <v>8.69</v>
      </c>
      <c r="D14" s="148">
        <v>8821.17</v>
      </c>
      <c r="E14" s="148">
        <v>-8750.760000000002</v>
      </c>
      <c r="F14" s="149">
        <v>5086.1400000000003</v>
      </c>
    </row>
    <row r="15" spans="2:7" x14ac:dyDescent="0.25">
      <c r="B15" s="52" t="s">
        <v>141</v>
      </c>
      <c r="C15" s="148">
        <v>1935.21</v>
      </c>
      <c r="D15" s="148">
        <v>723.95</v>
      </c>
      <c r="E15" s="148">
        <v>-293.52999999999997</v>
      </c>
      <c r="F15" s="149">
        <v>-757.54</v>
      </c>
      <c r="G15" s="43"/>
    </row>
    <row r="16" spans="2:7" x14ac:dyDescent="0.25">
      <c r="B16" s="52" t="s">
        <v>142</v>
      </c>
      <c r="C16" s="148">
        <v>0</v>
      </c>
      <c r="D16" s="148">
        <v>0</v>
      </c>
      <c r="E16" s="148">
        <v>0</v>
      </c>
      <c r="F16" s="149">
        <v>0</v>
      </c>
      <c r="G16" s="43"/>
    </row>
    <row r="17" spans="2:7" ht="22.5" x14ac:dyDescent="0.25">
      <c r="B17" s="54" t="s">
        <v>143</v>
      </c>
      <c r="C17" s="150">
        <v>877.799999999992</v>
      </c>
      <c r="D17" s="150">
        <v>2438.8526800000009</v>
      </c>
      <c r="E17" s="150">
        <v>-926.80980000000545</v>
      </c>
      <c r="F17" s="150">
        <v>4082.5400000000004</v>
      </c>
      <c r="G17" s="63"/>
    </row>
    <row r="18" spans="2:7" x14ac:dyDescent="0.25">
      <c r="B18" s="49" t="s">
        <v>125</v>
      </c>
      <c r="C18" s="150"/>
      <c r="D18" s="150"/>
      <c r="E18" s="150"/>
      <c r="F18" s="155"/>
    </row>
    <row r="19" spans="2:7" x14ac:dyDescent="0.25">
      <c r="B19" s="50" t="s">
        <v>126</v>
      </c>
      <c r="C19" s="146">
        <v>0.67</v>
      </c>
      <c r="D19" s="146">
        <v>26.36</v>
      </c>
      <c r="E19" s="146">
        <v>2.79</v>
      </c>
      <c r="F19" s="146">
        <v>26.47</v>
      </c>
    </row>
    <row r="20" spans="2:7" ht="22.5" x14ac:dyDescent="0.25">
      <c r="B20" s="52" t="s">
        <v>144</v>
      </c>
      <c r="C20" s="148">
        <v>0.67</v>
      </c>
      <c r="D20" s="148">
        <v>26.36</v>
      </c>
      <c r="E20" s="148">
        <v>2.79</v>
      </c>
      <c r="F20" s="149">
        <v>26.47</v>
      </c>
    </row>
    <row r="21" spans="2:7" ht="22.5" x14ac:dyDescent="0.25">
      <c r="B21" s="52" t="s">
        <v>145</v>
      </c>
      <c r="C21" s="148">
        <v>0</v>
      </c>
      <c r="D21" s="148">
        <v>0</v>
      </c>
      <c r="E21" s="148">
        <v>0</v>
      </c>
      <c r="F21" s="149">
        <v>0</v>
      </c>
    </row>
    <row r="22" spans="2:7" x14ac:dyDescent="0.25">
      <c r="B22" s="52" t="s">
        <v>146</v>
      </c>
      <c r="C22" s="148">
        <v>0</v>
      </c>
      <c r="D22" s="148">
        <v>0</v>
      </c>
      <c r="E22" s="148">
        <v>0</v>
      </c>
      <c r="F22" s="149">
        <v>0</v>
      </c>
    </row>
    <row r="23" spans="2:7" x14ac:dyDescent="0.25">
      <c r="B23" s="52" t="s">
        <v>147</v>
      </c>
      <c r="C23" s="148">
        <v>0</v>
      </c>
      <c r="D23" s="148">
        <v>0</v>
      </c>
      <c r="E23" s="148">
        <v>0</v>
      </c>
      <c r="F23" s="149">
        <v>0</v>
      </c>
    </row>
    <row r="24" spans="2:7" x14ac:dyDescent="0.25">
      <c r="B24" s="50" t="s">
        <v>127</v>
      </c>
      <c r="C24" s="146">
        <v>445.87</v>
      </c>
      <c r="D24" s="146">
        <v>2096.5100000000002</v>
      </c>
      <c r="E24" s="146">
        <v>1501.97</v>
      </c>
      <c r="F24" s="146">
        <v>2231.29</v>
      </c>
    </row>
    <row r="25" spans="2:7" ht="22.5" x14ac:dyDescent="0.25">
      <c r="B25" s="52" t="s">
        <v>148</v>
      </c>
      <c r="C25" s="148">
        <v>445.87</v>
      </c>
      <c r="D25" s="148">
        <v>2096.5100000000002</v>
      </c>
      <c r="E25" s="148">
        <v>1501.97</v>
      </c>
      <c r="F25" s="149">
        <v>2231.29</v>
      </c>
    </row>
    <row r="26" spans="2:7" ht="22.5" x14ac:dyDescent="0.25">
      <c r="B26" s="52" t="s">
        <v>149</v>
      </c>
      <c r="C26" s="148">
        <v>0</v>
      </c>
      <c r="D26" s="148">
        <v>0</v>
      </c>
      <c r="E26" s="148">
        <v>0</v>
      </c>
      <c r="F26" s="149">
        <v>0</v>
      </c>
    </row>
    <row r="27" spans="2:7" x14ac:dyDescent="0.25">
      <c r="B27" s="52" t="s">
        <v>150</v>
      </c>
      <c r="C27" s="148">
        <v>0</v>
      </c>
      <c r="D27" s="148">
        <v>0</v>
      </c>
      <c r="E27" s="148">
        <v>0</v>
      </c>
      <c r="F27" s="149">
        <v>0</v>
      </c>
    </row>
    <row r="28" spans="2:7" x14ac:dyDescent="0.25">
      <c r="B28" s="52" t="s">
        <v>151</v>
      </c>
      <c r="C28" s="148">
        <v>0</v>
      </c>
      <c r="D28" s="148">
        <v>0</v>
      </c>
      <c r="E28" s="148">
        <v>0</v>
      </c>
      <c r="F28" s="149">
        <v>0</v>
      </c>
    </row>
    <row r="29" spans="2:7" ht="22.5" x14ac:dyDescent="0.25">
      <c r="B29" s="54" t="s">
        <v>152</v>
      </c>
      <c r="C29" s="150">
        <v>-445.2</v>
      </c>
      <c r="D29" s="150">
        <v>-2070.15</v>
      </c>
      <c r="E29" s="150">
        <v>-1499.18</v>
      </c>
      <c r="F29" s="150">
        <v>-2204.8200000000002</v>
      </c>
    </row>
    <row r="30" spans="2:7" x14ac:dyDescent="0.25">
      <c r="B30" s="49" t="s">
        <v>128</v>
      </c>
      <c r="C30" s="150"/>
      <c r="D30" s="150"/>
      <c r="E30" s="150"/>
      <c r="F30" s="156"/>
    </row>
    <row r="31" spans="2:7" x14ac:dyDescent="0.25">
      <c r="B31" s="50" t="s">
        <v>126</v>
      </c>
      <c r="C31" s="146">
        <v>43.79</v>
      </c>
      <c r="D31" s="146">
        <v>407.73</v>
      </c>
      <c r="E31" s="146">
        <v>1213.19</v>
      </c>
      <c r="F31" s="149">
        <v>1212.4000000000001</v>
      </c>
    </row>
    <row r="32" spans="2:7" x14ac:dyDescent="0.25">
      <c r="B32" s="50" t="s">
        <v>127</v>
      </c>
      <c r="C32" s="146">
        <v>491.58</v>
      </c>
      <c r="D32" s="146">
        <v>694.9</v>
      </c>
      <c r="E32" s="146">
        <v>2104.2399999999998</v>
      </c>
      <c r="F32" s="149">
        <v>3015.16</v>
      </c>
    </row>
    <row r="33" spans="2:7" ht="22.5" x14ac:dyDescent="0.25">
      <c r="B33" s="54" t="s">
        <v>153</v>
      </c>
      <c r="C33" s="150">
        <v>-447.78999999999996</v>
      </c>
      <c r="D33" s="150">
        <v>-287.16999999999996</v>
      </c>
      <c r="E33" s="150">
        <v>-891.04999999999973</v>
      </c>
      <c r="F33" s="150">
        <v>-1802.7599999999998</v>
      </c>
    </row>
    <row r="34" spans="2:7" x14ac:dyDescent="0.25">
      <c r="B34" s="49" t="s">
        <v>129</v>
      </c>
      <c r="C34" s="150">
        <v>-15.190000000008013</v>
      </c>
      <c r="D34" s="150">
        <v>81.53268000000071</v>
      </c>
      <c r="E34" s="150">
        <v>-3317.039800000005</v>
      </c>
      <c r="F34" s="150">
        <v>74.960000000000491</v>
      </c>
      <c r="G34" s="63"/>
    </row>
    <row r="35" spans="2:7" ht="22.5" x14ac:dyDescent="0.25">
      <c r="B35" s="49" t="s">
        <v>154</v>
      </c>
      <c r="C35" s="151">
        <v>-15.189999999999998</v>
      </c>
      <c r="D35" s="151">
        <v>330.02</v>
      </c>
      <c r="E35" s="151">
        <v>-3317.04</v>
      </c>
      <c r="F35" s="151">
        <v>74.960000000000036</v>
      </c>
      <c r="G35" s="63"/>
    </row>
    <row r="36" spans="2:7" ht="22.5" x14ac:dyDescent="0.25">
      <c r="B36" s="55" t="s">
        <v>155</v>
      </c>
      <c r="C36" s="148">
        <v>0</v>
      </c>
      <c r="D36" s="148">
        <v>0</v>
      </c>
      <c r="E36" s="148">
        <v>0</v>
      </c>
      <c r="F36" s="149">
        <v>0</v>
      </c>
    </row>
    <row r="37" spans="2:7" x14ac:dyDescent="0.25">
      <c r="B37" s="49" t="s">
        <v>123</v>
      </c>
      <c r="C37" s="150">
        <v>260.64</v>
      </c>
      <c r="D37" s="150">
        <v>553.32000000000005</v>
      </c>
      <c r="E37" s="150">
        <v>3562.49</v>
      </c>
      <c r="F37" s="151">
        <v>889.91</v>
      </c>
    </row>
    <row r="38" spans="2:7" x14ac:dyDescent="0.25">
      <c r="B38" s="49" t="s">
        <v>156</v>
      </c>
      <c r="C38" s="150">
        <v>245.45</v>
      </c>
      <c r="D38" s="150">
        <v>883.34</v>
      </c>
      <c r="E38" s="150">
        <v>245.45</v>
      </c>
      <c r="F38" s="151">
        <v>964.87</v>
      </c>
    </row>
    <row r="39" spans="2:7" ht="15.75" thickBot="1" x14ac:dyDescent="0.3">
      <c r="B39" s="44" t="s">
        <v>130</v>
      </c>
      <c r="C39" s="152">
        <v>0</v>
      </c>
      <c r="D39" s="152">
        <v>0</v>
      </c>
      <c r="E39" s="152">
        <v>0</v>
      </c>
      <c r="F39" s="153">
        <v>0</v>
      </c>
    </row>
    <row r="40" spans="2:7" ht="15.75" thickTop="1" x14ac:dyDescent="0.25"/>
  </sheetData>
  <mergeCells count="1">
    <mergeCell ref="C2:F2"/>
  </mergeCells>
  <pageMargins left="0.25" right="0.25" top="0.75" bottom="0.75" header="0.3" footer="0.3"/>
  <pageSetup paperSize="9" scale="91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workbookViewId="0">
      <selection activeCell="G20" sqref="G20"/>
    </sheetView>
  </sheetViews>
  <sheetFormatPr defaultRowHeight="15" x14ac:dyDescent="0.25"/>
  <cols>
    <col min="1" max="1" width="3.28515625" customWidth="1"/>
    <col min="2" max="2" width="39.28515625" customWidth="1"/>
    <col min="3" max="4" width="10.140625" style="56" customWidth="1"/>
    <col min="5" max="6" width="10.140625" customWidth="1"/>
    <col min="7" max="12" width="10.140625" style="56" customWidth="1"/>
  </cols>
  <sheetData>
    <row r="1" spans="2:15" x14ac:dyDescent="0.25">
      <c r="H1" s="57"/>
      <c r="I1" s="57"/>
    </row>
    <row r="2" spans="2:15" x14ac:dyDescent="0.25">
      <c r="E2" s="46"/>
      <c r="H2" s="57"/>
      <c r="I2" s="57"/>
    </row>
    <row r="3" spans="2:15" ht="15" customHeight="1" x14ac:dyDescent="0.25">
      <c r="B3" s="196"/>
      <c r="C3" s="25" t="s">
        <v>111</v>
      </c>
      <c r="D3" s="25" t="s">
        <v>111</v>
      </c>
      <c r="E3" s="25" t="s">
        <v>111</v>
      </c>
      <c r="F3" s="25" t="s">
        <v>111</v>
      </c>
      <c r="G3" s="198" t="s">
        <v>92</v>
      </c>
      <c r="H3" s="25" t="s">
        <v>122</v>
      </c>
      <c r="I3" s="25" t="s">
        <v>122</v>
      </c>
      <c r="J3" s="25" t="s">
        <v>122</v>
      </c>
      <c r="K3" s="25" t="s">
        <v>122</v>
      </c>
      <c r="L3" s="199" t="s">
        <v>92</v>
      </c>
    </row>
    <row r="4" spans="2:15" x14ac:dyDescent="0.25">
      <c r="B4" s="197"/>
      <c r="C4" s="26" t="s">
        <v>158</v>
      </c>
      <c r="D4" s="26" t="s">
        <v>93</v>
      </c>
      <c r="E4" s="26" t="s">
        <v>159</v>
      </c>
      <c r="F4" s="26" t="s">
        <v>94</v>
      </c>
      <c r="G4" s="198"/>
      <c r="H4" s="26" t="s">
        <v>158</v>
      </c>
      <c r="I4" s="26" t="s">
        <v>93</v>
      </c>
      <c r="J4" s="26" t="s">
        <v>159</v>
      </c>
      <c r="K4" s="26" t="s">
        <v>94</v>
      </c>
      <c r="L4" s="199"/>
    </row>
    <row r="5" spans="2:15" x14ac:dyDescent="0.25">
      <c r="B5" s="23" t="s">
        <v>0</v>
      </c>
      <c r="C5" s="87">
        <f>'RZiS LLF'!C4</f>
        <v>29516.959999999992</v>
      </c>
      <c r="D5" s="87">
        <f>'RZiS LLF'!D4</f>
        <v>23464.793089999999</v>
      </c>
      <c r="E5" s="88">
        <f>C5/4.1841</f>
        <v>7054.5541454554132</v>
      </c>
      <c r="F5" s="87">
        <f>D5/4.2415</f>
        <v>5532.1921702227983</v>
      </c>
      <c r="G5" s="101">
        <f>(C5/D5)*100</f>
        <v>125.79254326593336</v>
      </c>
      <c r="H5" s="87">
        <f>'RZiS LLF'!E4</f>
        <v>83447.069999999992</v>
      </c>
      <c r="I5" s="87">
        <f>'RZiS LLF'!F4</f>
        <v>72004.873089999994</v>
      </c>
      <c r="J5" s="87">
        <f>H5/4.1803</f>
        <v>19961.981197521709</v>
      </c>
      <c r="K5" s="87">
        <f>I5/4.2231</f>
        <v>17050.241076460421</v>
      </c>
      <c r="L5" s="102">
        <f>(H5/I5)*100</f>
        <v>115.89086463036776</v>
      </c>
    </row>
    <row r="6" spans="2:15" x14ac:dyDescent="0.25">
      <c r="B6" s="162" t="s">
        <v>95</v>
      </c>
      <c r="C6" s="163">
        <f>'Rach.przep.pienięż LLF'!C7</f>
        <v>828.08</v>
      </c>
      <c r="D6" s="163">
        <f>'Rach.przep.pienięż LLF'!D7</f>
        <v>813.92</v>
      </c>
      <c r="E6" s="164">
        <f t="shared" ref="E6:E13" si="0">C6/4.1841</f>
        <v>197.91113979111398</v>
      </c>
      <c r="F6" s="163">
        <f t="shared" ref="F6:F13" si="1">D6/4.2415</f>
        <v>191.89437698927264</v>
      </c>
      <c r="G6" s="165">
        <f t="shared" ref="G6:G13" si="2">(C6/D6)*100</f>
        <v>101.73972872026735</v>
      </c>
      <c r="H6" s="163">
        <f>'Rach.przep.pienięż LLF'!E7</f>
        <v>2414.4702000000002</v>
      </c>
      <c r="I6" s="163">
        <f>'Rach.przep.pienięż LLF'!F7</f>
        <v>2314.8000000000002</v>
      </c>
      <c r="J6" s="163">
        <f t="shared" ref="J6:J13" si="3">H6/4.1803</f>
        <v>577.58299643566261</v>
      </c>
      <c r="K6" s="163">
        <f t="shared" ref="K6:K13" si="4">I6/4.2231</f>
        <v>548.12815230517879</v>
      </c>
      <c r="L6" s="166">
        <f t="shared" ref="L6:L13" si="5">(H6/I6)*100</f>
        <v>104.30578019699325</v>
      </c>
      <c r="N6" s="43"/>
      <c r="O6" s="43"/>
    </row>
    <row r="7" spans="2:15" x14ac:dyDescent="0.25">
      <c r="B7" s="23" t="s">
        <v>96</v>
      </c>
      <c r="C7" s="87">
        <f>'RZiS LLF'!C10</f>
        <v>10796.769999999993</v>
      </c>
      <c r="D7" s="87">
        <f>'RZiS LLF'!D10</f>
        <v>7722.9637000000002</v>
      </c>
      <c r="E7" s="88">
        <f t="shared" si="0"/>
        <v>2580.4282880428273</v>
      </c>
      <c r="F7" s="87">
        <f t="shared" si="1"/>
        <v>1820.8095485087822</v>
      </c>
      <c r="G7" s="101">
        <f t="shared" si="2"/>
        <v>139.80086427183377</v>
      </c>
      <c r="H7" s="87">
        <f>'RZiS LLF'!E10</f>
        <v>27437.819999999992</v>
      </c>
      <c r="I7" s="87">
        <f>'RZiS LLF'!F10</f>
        <v>22191.843699999998</v>
      </c>
      <c r="J7" s="87">
        <f t="shared" si="3"/>
        <v>6563.6006985144586</v>
      </c>
      <c r="K7" s="87">
        <f t="shared" si="4"/>
        <v>5254.8705216547087</v>
      </c>
      <c r="L7" s="102">
        <f t="shared" si="5"/>
        <v>123.6392089405352</v>
      </c>
    </row>
    <row r="8" spans="2:15" x14ac:dyDescent="0.25">
      <c r="B8" s="162" t="s">
        <v>97</v>
      </c>
      <c r="C8" s="163">
        <f>'RZiS LLF'!C10-'RZiS LLF'!C13-'RZiS LLF'!C14</f>
        <v>726.74999999999272</v>
      </c>
      <c r="D8" s="163">
        <f>'RZiS LLF'!D10-'RZiS LLF'!D13-'RZiS LLF'!D14</f>
        <v>279.16435000000092</v>
      </c>
      <c r="E8" s="164">
        <f t="shared" si="0"/>
        <v>173.69326736932501</v>
      </c>
      <c r="F8" s="163">
        <f t="shared" si="1"/>
        <v>65.817364140045015</v>
      </c>
      <c r="G8" s="165">
        <f t="shared" si="2"/>
        <v>260.33051856370281</v>
      </c>
      <c r="H8" s="163">
        <f>'RZiS LLF'!E10-'RZiS LLF'!E13-'RZiS LLF'!E14</f>
        <v>2793.7699999999923</v>
      </c>
      <c r="I8" s="163">
        <f>'RZiS LLF'!F10-'RZiS LLF'!F13-'RZiS LLF'!F14</f>
        <v>1746.7043499999982</v>
      </c>
      <c r="J8" s="163">
        <f t="shared" si="3"/>
        <v>668.31806329689073</v>
      </c>
      <c r="K8" s="163">
        <f t="shared" si="4"/>
        <v>413.60714877696438</v>
      </c>
      <c r="L8" s="166">
        <f t="shared" si="5"/>
        <v>159.94521339572981</v>
      </c>
    </row>
    <row r="9" spans="2:15" x14ac:dyDescent="0.25">
      <c r="B9" s="23" t="s">
        <v>98</v>
      </c>
      <c r="C9" s="87">
        <f>'RZiS LLF'!C17</f>
        <v>775.84999999999195</v>
      </c>
      <c r="D9" s="87">
        <f>'RZiS LLF'!D17</f>
        <v>401.67051000000112</v>
      </c>
      <c r="E9" s="88">
        <f t="shared" si="0"/>
        <v>185.42816854281494</v>
      </c>
      <c r="F9" s="87">
        <f t="shared" si="1"/>
        <v>94.700108452198776</v>
      </c>
      <c r="G9" s="101">
        <f t="shared" si="2"/>
        <v>193.15582814381614</v>
      </c>
      <c r="H9" s="87">
        <f>'RZiS LLF'!E17</f>
        <v>3021.8699999999935</v>
      </c>
      <c r="I9" s="87">
        <f>'RZiS LLF'!F17</f>
        <v>2026.9305099999974</v>
      </c>
      <c r="J9" s="87">
        <f t="shared" si="3"/>
        <v>722.88352510585207</v>
      </c>
      <c r="K9" s="87">
        <f t="shared" si="4"/>
        <v>479.96270748975815</v>
      </c>
      <c r="L9" s="102">
        <f t="shared" si="5"/>
        <v>149.08601874072127</v>
      </c>
    </row>
    <row r="10" spans="2:15" x14ac:dyDescent="0.25">
      <c r="B10" s="162" t="s">
        <v>99</v>
      </c>
      <c r="C10" s="163">
        <f>'RZiS LLF'!C21</f>
        <v>699.77999999999201</v>
      </c>
      <c r="D10" s="163">
        <f>'RZiS LLF'!D21</f>
        <v>131.23268000000104</v>
      </c>
      <c r="E10" s="164">
        <f t="shared" si="0"/>
        <v>167.24743672474176</v>
      </c>
      <c r="F10" s="163">
        <f t="shared" si="1"/>
        <v>30.940157962985037</v>
      </c>
      <c r="G10" s="165">
        <f t="shared" si="2"/>
        <v>533.23608113465832</v>
      </c>
      <c r="H10" s="163">
        <f>'RZiS LLF'!E21</f>
        <v>2450.4799999999932</v>
      </c>
      <c r="I10" s="163">
        <f>'RZiS LLF'!F21</f>
        <v>1354.1526799999974</v>
      </c>
      <c r="J10" s="163">
        <f t="shared" si="3"/>
        <v>586.19716288304505</v>
      </c>
      <c r="K10" s="163">
        <f t="shared" si="4"/>
        <v>320.65370936042183</v>
      </c>
      <c r="L10" s="166">
        <f t="shared" si="5"/>
        <v>180.96039214721327</v>
      </c>
    </row>
    <row r="11" spans="2:15" x14ac:dyDescent="0.25">
      <c r="B11" s="157" t="s">
        <v>100</v>
      </c>
      <c r="C11" s="159">
        <f>C9+C6</f>
        <v>1603.9299999999921</v>
      </c>
      <c r="D11" s="159">
        <f>D9+D6</f>
        <v>1215.5905100000011</v>
      </c>
      <c r="E11" s="159">
        <f t="shared" si="0"/>
        <v>383.33930833392895</v>
      </c>
      <c r="F11" s="158">
        <f t="shared" si="1"/>
        <v>286.59448544147142</v>
      </c>
      <c r="G11" s="160">
        <f t="shared" si="2"/>
        <v>131.94657138282452</v>
      </c>
      <c r="H11" s="159">
        <f>H9+H6</f>
        <v>5436.3401999999933</v>
      </c>
      <c r="I11" s="159">
        <f>I9+I6</f>
        <v>4341.7305099999976</v>
      </c>
      <c r="J11" s="158">
        <f t="shared" si="3"/>
        <v>1300.4665215415146</v>
      </c>
      <c r="K11" s="158">
        <f t="shared" si="4"/>
        <v>1028.0908597949369</v>
      </c>
      <c r="L11" s="161">
        <f t="shared" si="5"/>
        <v>125.21136877286278</v>
      </c>
    </row>
    <row r="12" spans="2:15" x14ac:dyDescent="0.25">
      <c r="B12" s="162" t="s">
        <v>101</v>
      </c>
      <c r="C12" s="164">
        <f>'RZiS LLF'!C21</f>
        <v>699.77999999999201</v>
      </c>
      <c r="D12" s="164">
        <f>'RZiS LLF'!D21</f>
        <v>131.23268000000104</v>
      </c>
      <c r="E12" s="164">
        <f t="shared" si="0"/>
        <v>167.24743672474176</v>
      </c>
      <c r="F12" s="163">
        <f t="shared" si="1"/>
        <v>30.940157962985037</v>
      </c>
      <c r="G12" s="165">
        <f t="shared" si="2"/>
        <v>533.23608113465832</v>
      </c>
      <c r="H12" s="164">
        <f>H10</f>
        <v>2450.4799999999932</v>
      </c>
      <c r="I12" s="164">
        <f>I10</f>
        <v>1354.1526799999974</v>
      </c>
      <c r="J12" s="163">
        <f t="shared" si="3"/>
        <v>586.19716288304505</v>
      </c>
      <c r="K12" s="163">
        <f t="shared" si="4"/>
        <v>320.65370936042183</v>
      </c>
      <c r="L12" s="166">
        <f t="shared" si="5"/>
        <v>180.96039214721327</v>
      </c>
    </row>
    <row r="13" spans="2:15" x14ac:dyDescent="0.25">
      <c r="B13" s="23" t="s">
        <v>22</v>
      </c>
      <c r="C13" s="88">
        <f>C12</f>
        <v>699.77999999999201</v>
      </c>
      <c r="D13" s="88">
        <f>D12</f>
        <v>131.23268000000104</v>
      </c>
      <c r="E13" s="88">
        <f t="shared" si="0"/>
        <v>167.24743672474176</v>
      </c>
      <c r="F13" s="87">
        <f t="shared" si="1"/>
        <v>30.940157962985037</v>
      </c>
      <c r="G13" s="101">
        <f t="shared" si="2"/>
        <v>533.23608113465832</v>
      </c>
      <c r="H13" s="88">
        <f>H12</f>
        <v>2450.4799999999932</v>
      </c>
      <c r="I13" s="88">
        <f>I12</f>
        <v>1354.1526799999974</v>
      </c>
      <c r="J13" s="87">
        <f t="shared" si="3"/>
        <v>586.19716288304505</v>
      </c>
      <c r="K13" s="87">
        <f t="shared" si="4"/>
        <v>320.65370936042183</v>
      </c>
      <c r="L13" s="102">
        <f t="shared" si="5"/>
        <v>180.96039214721327</v>
      </c>
    </row>
    <row r="14" spans="2:15" x14ac:dyDescent="0.25">
      <c r="B14" s="200"/>
      <c r="C14" s="111" t="s">
        <v>172</v>
      </c>
      <c r="D14" s="111" t="s">
        <v>172</v>
      </c>
      <c r="E14" s="111" t="s">
        <v>172</v>
      </c>
      <c r="F14" s="111" t="s">
        <v>172</v>
      </c>
      <c r="G14" s="198" t="s">
        <v>92</v>
      </c>
      <c r="H14" s="111" t="s">
        <v>172</v>
      </c>
      <c r="I14" s="111" t="s">
        <v>172</v>
      </c>
      <c r="J14" s="111" t="s">
        <v>172</v>
      </c>
      <c r="K14" s="111" t="s">
        <v>172</v>
      </c>
      <c r="L14" s="199" t="s">
        <v>92</v>
      </c>
    </row>
    <row r="15" spans="2:15" x14ac:dyDescent="0.25">
      <c r="B15" s="201"/>
      <c r="C15" s="112" t="s">
        <v>158</v>
      </c>
      <c r="D15" s="112" t="s">
        <v>93</v>
      </c>
      <c r="E15" s="112" t="s">
        <v>159</v>
      </c>
      <c r="F15" s="112" t="s">
        <v>94</v>
      </c>
      <c r="G15" s="198"/>
      <c r="H15" s="26" t="s">
        <v>158</v>
      </c>
      <c r="I15" s="26" t="s">
        <v>93</v>
      </c>
      <c r="J15" s="26" t="s">
        <v>159</v>
      </c>
      <c r="K15" s="26" t="s">
        <v>94</v>
      </c>
      <c r="L15" s="199"/>
    </row>
    <row r="16" spans="2:15" x14ac:dyDescent="0.25">
      <c r="B16" s="24" t="s">
        <v>102</v>
      </c>
      <c r="C16" s="89">
        <f>C17+C18</f>
        <v>76495.900999999983</v>
      </c>
      <c r="D16" s="89">
        <f t="shared" ref="D16" si="6">D17+D18</f>
        <v>75200.123500000002</v>
      </c>
      <c r="E16" s="89">
        <f>C16/4.1755</f>
        <v>18320.177463776788</v>
      </c>
      <c r="F16" s="89">
        <f>D16/4.2163</f>
        <v>17835.572302729881</v>
      </c>
      <c r="G16" s="103">
        <f>(C16/D16)*100</f>
        <v>101.72310554782531</v>
      </c>
      <c r="H16" s="89">
        <f>H18+H17</f>
        <v>76495.900999999983</v>
      </c>
      <c r="I16" s="89">
        <f>I18+I17</f>
        <v>75200.123500000002</v>
      </c>
      <c r="J16" s="89">
        <f>H16/4.1755</f>
        <v>18320.177463776788</v>
      </c>
      <c r="K16" s="89">
        <f>I16/4.2163</f>
        <v>17835.572302729881</v>
      </c>
      <c r="L16" s="104">
        <f>(H16/I16)*100</f>
        <v>101.72310554782531</v>
      </c>
    </row>
    <row r="17" spans="2:12" x14ac:dyDescent="0.25">
      <c r="B17" s="23" t="s">
        <v>26</v>
      </c>
      <c r="C17" s="90">
        <f>'Bilans LLF'!C4</f>
        <v>30415.380999999998</v>
      </c>
      <c r="D17" s="90">
        <f>'Bilans LLF'!D4</f>
        <v>29914.568729999999</v>
      </c>
      <c r="E17" s="167">
        <f t="shared" ref="E17:E28" si="7">C17/4.1755</f>
        <v>7284.2488324751512</v>
      </c>
      <c r="F17" s="167">
        <f>D17/4.2163</f>
        <v>7094.98108056827</v>
      </c>
      <c r="G17" s="105">
        <f t="shared" ref="G17:G28" si="8">(C17/D17)*100</f>
        <v>101.67414170172459</v>
      </c>
      <c r="H17" s="167">
        <f t="shared" ref="H17:H28" si="9">C17</f>
        <v>30415.380999999998</v>
      </c>
      <c r="I17" s="167">
        <f t="shared" ref="I17:I28" si="10">D17</f>
        <v>29914.568729999999</v>
      </c>
      <c r="J17" s="167">
        <f t="shared" ref="J17:J28" si="11">H17/4.1755</f>
        <v>7284.2488324751512</v>
      </c>
      <c r="K17" s="167">
        <f t="shared" ref="K17:K28" si="12">I17/4.2163</f>
        <v>7094.98108056827</v>
      </c>
      <c r="L17" s="168">
        <f t="shared" ref="L17:L28" si="13">(H17/I17)*100</f>
        <v>101.67414170172459</v>
      </c>
    </row>
    <row r="18" spans="2:12" x14ac:dyDescent="0.25">
      <c r="B18" s="24" t="s">
        <v>35</v>
      </c>
      <c r="C18" s="89">
        <f>'Bilans LLF'!C13</f>
        <v>46080.51999999999</v>
      </c>
      <c r="D18" s="89">
        <f>'Bilans LLF'!D13</f>
        <v>45285.554770000002</v>
      </c>
      <c r="E18" s="89">
        <f t="shared" si="7"/>
        <v>11035.928631301636</v>
      </c>
      <c r="F18" s="89">
        <f t="shared" ref="F18:F28" si="14">D18/4.2163</f>
        <v>10740.591222161611</v>
      </c>
      <c r="G18" s="103">
        <f t="shared" si="8"/>
        <v>101.75544990899972</v>
      </c>
      <c r="H18" s="89">
        <f t="shared" si="9"/>
        <v>46080.51999999999</v>
      </c>
      <c r="I18" s="89">
        <f t="shared" si="10"/>
        <v>45285.554770000002</v>
      </c>
      <c r="J18" s="89">
        <f t="shared" si="11"/>
        <v>11035.928631301636</v>
      </c>
      <c r="K18" s="89">
        <f t="shared" si="12"/>
        <v>10740.591222161611</v>
      </c>
      <c r="L18" s="104">
        <f t="shared" si="13"/>
        <v>101.75544990899972</v>
      </c>
    </row>
    <row r="19" spans="2:12" x14ac:dyDescent="0.25">
      <c r="B19" s="23" t="s">
        <v>36</v>
      </c>
      <c r="C19" s="90">
        <f>'Bilans LLF'!C14</f>
        <v>24494.62</v>
      </c>
      <c r="D19" s="90">
        <f>'Bilans LLF'!D14</f>
        <v>25115.12902</v>
      </c>
      <c r="E19" s="167">
        <f t="shared" si="7"/>
        <v>5866.2723027182365</v>
      </c>
      <c r="F19" s="167">
        <f t="shared" si="14"/>
        <v>5956.6750515855128</v>
      </c>
      <c r="G19" s="105">
        <f t="shared" si="8"/>
        <v>97.529341698759069</v>
      </c>
      <c r="H19" s="167">
        <f t="shared" si="9"/>
        <v>24494.62</v>
      </c>
      <c r="I19" s="167">
        <f t="shared" si="10"/>
        <v>25115.12902</v>
      </c>
      <c r="J19" s="167">
        <f t="shared" si="11"/>
        <v>5866.2723027182365</v>
      </c>
      <c r="K19" s="167">
        <f t="shared" si="12"/>
        <v>5956.6750515855128</v>
      </c>
      <c r="L19" s="168">
        <f t="shared" si="13"/>
        <v>97.529341698759069</v>
      </c>
    </row>
    <row r="20" spans="2:12" x14ac:dyDescent="0.25">
      <c r="B20" s="24" t="s">
        <v>103</v>
      </c>
      <c r="C20" s="89">
        <f>'Bilans LLF'!C22</f>
        <v>245.45</v>
      </c>
      <c r="D20" s="89">
        <f>'Bilans LLF'!D22</f>
        <v>964.86707999999999</v>
      </c>
      <c r="E20" s="89">
        <f t="shared" si="7"/>
        <v>58.783379236019627</v>
      </c>
      <c r="F20" s="89">
        <f t="shared" si="14"/>
        <v>228.8421317268695</v>
      </c>
      <c r="G20" s="103">
        <f t="shared" si="8"/>
        <v>25.438737115997366</v>
      </c>
      <c r="H20" s="89">
        <f t="shared" si="9"/>
        <v>245.45</v>
      </c>
      <c r="I20" s="89">
        <f t="shared" si="10"/>
        <v>964.86707999999999</v>
      </c>
      <c r="J20" s="89">
        <f t="shared" si="11"/>
        <v>58.783379236019627</v>
      </c>
      <c r="K20" s="89">
        <f t="shared" si="12"/>
        <v>228.8421317268695</v>
      </c>
      <c r="L20" s="104">
        <f t="shared" si="13"/>
        <v>25.438737115997366</v>
      </c>
    </row>
    <row r="21" spans="2:12" x14ac:dyDescent="0.25">
      <c r="B21" s="23" t="s">
        <v>104</v>
      </c>
      <c r="C21" s="90">
        <f>C22+C23</f>
        <v>20191.68</v>
      </c>
      <c r="D21" s="90">
        <f>D22+D23</f>
        <v>17223.356239999997</v>
      </c>
      <c r="E21" s="167">
        <f t="shared" si="7"/>
        <v>4835.7514070171237</v>
      </c>
      <c r="F21" s="167">
        <f t="shared" si="14"/>
        <v>4084.9456253112908</v>
      </c>
      <c r="G21" s="105">
        <f t="shared" si="8"/>
        <v>117.23429347124741</v>
      </c>
      <c r="H21" s="167">
        <f t="shared" si="9"/>
        <v>20191.68</v>
      </c>
      <c r="I21" s="167">
        <f t="shared" si="10"/>
        <v>17223.356239999997</v>
      </c>
      <c r="J21" s="167">
        <f t="shared" si="11"/>
        <v>4835.7514070171237</v>
      </c>
      <c r="K21" s="167">
        <f t="shared" si="12"/>
        <v>4084.9456253112908</v>
      </c>
      <c r="L21" s="168">
        <f t="shared" si="13"/>
        <v>117.23429347124741</v>
      </c>
    </row>
    <row r="22" spans="2:12" x14ac:dyDescent="0.25">
      <c r="B22" s="24" t="s">
        <v>105</v>
      </c>
      <c r="C22" s="89">
        <f>'Bilans LLF'!C15+'Bilans LLF'!C17</f>
        <v>20191.68</v>
      </c>
      <c r="D22" s="89">
        <f>'Bilans LLF'!D15+'Bilans LLF'!D17</f>
        <v>17223.356239999997</v>
      </c>
      <c r="E22" s="89">
        <f t="shared" si="7"/>
        <v>4835.7514070171237</v>
      </c>
      <c r="F22" s="89">
        <f t="shared" si="14"/>
        <v>4084.9456253112908</v>
      </c>
      <c r="G22" s="103">
        <f t="shared" si="8"/>
        <v>117.23429347124741</v>
      </c>
      <c r="H22" s="89">
        <f t="shared" si="9"/>
        <v>20191.68</v>
      </c>
      <c r="I22" s="89">
        <f t="shared" si="10"/>
        <v>17223.356239999997</v>
      </c>
      <c r="J22" s="89">
        <f t="shared" si="11"/>
        <v>4835.7514070171237</v>
      </c>
      <c r="K22" s="89">
        <f t="shared" si="12"/>
        <v>4084.9456253112908</v>
      </c>
      <c r="L22" s="104">
        <f t="shared" si="13"/>
        <v>117.23429347124741</v>
      </c>
    </row>
    <row r="23" spans="2:12" x14ac:dyDescent="0.25">
      <c r="B23" s="23" t="s">
        <v>106</v>
      </c>
      <c r="C23" s="90">
        <v>0</v>
      </c>
      <c r="D23" s="90">
        <v>0</v>
      </c>
      <c r="E23" s="167">
        <f t="shared" si="7"/>
        <v>0</v>
      </c>
      <c r="F23" s="167">
        <f t="shared" si="14"/>
        <v>0</v>
      </c>
      <c r="G23" s="105" t="s">
        <v>157</v>
      </c>
      <c r="H23" s="167">
        <f t="shared" si="9"/>
        <v>0</v>
      </c>
      <c r="I23" s="167">
        <f t="shared" si="10"/>
        <v>0</v>
      </c>
      <c r="J23" s="167">
        <f t="shared" si="11"/>
        <v>0</v>
      </c>
      <c r="K23" s="167">
        <f t="shared" si="12"/>
        <v>0</v>
      </c>
      <c r="L23" s="168" t="s">
        <v>157</v>
      </c>
    </row>
    <row r="24" spans="2:12" x14ac:dyDescent="0.25">
      <c r="B24" s="24" t="s">
        <v>107</v>
      </c>
      <c r="C24" s="89">
        <f>C25+C26</f>
        <v>38344.090000000004</v>
      </c>
      <c r="D24" s="89">
        <f>D25+D26</f>
        <v>39055.647020000004</v>
      </c>
      <c r="E24" s="89">
        <f t="shared" si="7"/>
        <v>9183.1133995928631</v>
      </c>
      <c r="F24" s="89">
        <f t="shared" si="14"/>
        <v>9263.0142589474181</v>
      </c>
      <c r="G24" s="103">
        <f t="shared" si="8"/>
        <v>98.178094400444522</v>
      </c>
      <c r="H24" s="89">
        <f t="shared" si="9"/>
        <v>38344.090000000004</v>
      </c>
      <c r="I24" s="89">
        <f t="shared" si="10"/>
        <v>39055.647020000004</v>
      </c>
      <c r="J24" s="89">
        <f t="shared" si="11"/>
        <v>9183.1133995928631</v>
      </c>
      <c r="K24" s="89">
        <f t="shared" si="12"/>
        <v>9263.0142589474181</v>
      </c>
      <c r="L24" s="104">
        <f t="shared" si="13"/>
        <v>98.178094400444522</v>
      </c>
    </row>
    <row r="25" spans="2:12" x14ac:dyDescent="0.25">
      <c r="B25" s="23" t="s">
        <v>108</v>
      </c>
      <c r="C25" s="90">
        <f>'Bilans LLF'!C38</f>
        <v>4150.5599999999995</v>
      </c>
      <c r="D25" s="90">
        <f>'Bilans LLF'!D38</f>
        <v>4734.7237599999999</v>
      </c>
      <c r="E25" s="167">
        <f t="shared" si="7"/>
        <v>994.02706262723007</v>
      </c>
      <c r="F25" s="167">
        <f t="shared" si="14"/>
        <v>1122.957038161421</v>
      </c>
      <c r="G25" s="105">
        <f t="shared" si="8"/>
        <v>87.662136386178517</v>
      </c>
      <c r="H25" s="167">
        <f t="shared" si="9"/>
        <v>4150.5599999999995</v>
      </c>
      <c r="I25" s="167">
        <f t="shared" si="10"/>
        <v>4734.7237599999999</v>
      </c>
      <c r="J25" s="167">
        <f t="shared" si="11"/>
        <v>994.02706262723007</v>
      </c>
      <c r="K25" s="167">
        <f t="shared" si="12"/>
        <v>1122.957038161421</v>
      </c>
      <c r="L25" s="168">
        <f t="shared" si="13"/>
        <v>87.662136386178517</v>
      </c>
    </row>
    <row r="26" spans="2:12" x14ac:dyDescent="0.25">
      <c r="B26" s="24" t="s">
        <v>66</v>
      </c>
      <c r="C26" s="89">
        <f>'Bilans LLF'!C46</f>
        <v>34193.530000000006</v>
      </c>
      <c r="D26" s="89">
        <f>'Bilans LLF'!D46</f>
        <v>34320.923260000003</v>
      </c>
      <c r="E26" s="89">
        <f t="shared" si="7"/>
        <v>8189.0863369656336</v>
      </c>
      <c r="F26" s="89">
        <f t="shared" si="14"/>
        <v>8140.0572207859968</v>
      </c>
      <c r="G26" s="103">
        <f t="shared" si="8"/>
        <v>99.628817502854091</v>
      </c>
      <c r="H26" s="89">
        <f t="shared" si="9"/>
        <v>34193.530000000006</v>
      </c>
      <c r="I26" s="89">
        <f t="shared" si="10"/>
        <v>34320.923260000003</v>
      </c>
      <c r="J26" s="89">
        <f t="shared" si="11"/>
        <v>8189.0863369656336</v>
      </c>
      <c r="K26" s="89">
        <f t="shared" si="12"/>
        <v>8140.0572207859968</v>
      </c>
      <c r="L26" s="104">
        <f t="shared" si="13"/>
        <v>99.628817502854091</v>
      </c>
    </row>
    <row r="27" spans="2:12" x14ac:dyDescent="0.25">
      <c r="B27" s="23" t="s">
        <v>109</v>
      </c>
      <c r="C27" s="90">
        <f>'Bilans LLF'!C28</f>
        <v>38151.810000000005</v>
      </c>
      <c r="D27" s="90">
        <f>'Bilans LLF'!D28</f>
        <v>36144.476479999998</v>
      </c>
      <c r="E27" s="167">
        <f t="shared" si="7"/>
        <v>9137.0638246916533</v>
      </c>
      <c r="F27" s="167">
        <f t="shared" si="14"/>
        <v>8572.5580437824628</v>
      </c>
      <c r="G27" s="105">
        <f t="shared" si="8"/>
        <v>105.55363838541342</v>
      </c>
      <c r="H27" s="167">
        <f t="shared" si="9"/>
        <v>38151.810000000005</v>
      </c>
      <c r="I27" s="167">
        <f t="shared" si="10"/>
        <v>36144.476479999998</v>
      </c>
      <c r="J27" s="167">
        <f t="shared" si="11"/>
        <v>9137.0638246916533</v>
      </c>
      <c r="K27" s="167">
        <f t="shared" si="12"/>
        <v>8572.5580437824628</v>
      </c>
      <c r="L27" s="168">
        <f t="shared" si="13"/>
        <v>105.55363838541342</v>
      </c>
    </row>
    <row r="28" spans="2:12" x14ac:dyDescent="0.25">
      <c r="B28" s="24" t="s">
        <v>110</v>
      </c>
      <c r="C28" s="89">
        <f>'Bilans LLF'!C29</f>
        <v>29000</v>
      </c>
      <c r="D28" s="89">
        <f>'Bilans LLF'!D29</f>
        <v>28200</v>
      </c>
      <c r="E28" s="89">
        <f t="shared" si="7"/>
        <v>6945.2760148485204</v>
      </c>
      <c r="F28" s="89">
        <f t="shared" si="14"/>
        <v>6688.3286293669798</v>
      </c>
      <c r="G28" s="103">
        <f t="shared" si="8"/>
        <v>102.83687943262412</v>
      </c>
      <c r="H28" s="89">
        <f t="shared" si="9"/>
        <v>29000</v>
      </c>
      <c r="I28" s="89">
        <f t="shared" si="10"/>
        <v>28200</v>
      </c>
      <c r="J28" s="89">
        <f t="shared" si="11"/>
        <v>6945.2760148485204</v>
      </c>
      <c r="K28" s="89">
        <f t="shared" si="12"/>
        <v>6688.3286293669798</v>
      </c>
      <c r="L28" s="104">
        <f t="shared" si="13"/>
        <v>102.83687943262412</v>
      </c>
    </row>
    <row r="29" spans="2:12" x14ac:dyDescent="0.25">
      <c r="C29" s="57"/>
      <c r="D29" s="57"/>
      <c r="H29" s="57"/>
      <c r="I29" s="57"/>
    </row>
    <row r="30" spans="2:12" x14ac:dyDescent="0.25">
      <c r="C30" s="57"/>
      <c r="D30" s="57"/>
      <c r="H30" s="57"/>
      <c r="I30" s="57"/>
    </row>
    <row r="31" spans="2:12" x14ac:dyDescent="0.25">
      <c r="C31" s="57"/>
      <c r="D31" s="57"/>
    </row>
  </sheetData>
  <mergeCells count="6">
    <mergeCell ref="B3:B4"/>
    <mergeCell ref="G3:G4"/>
    <mergeCell ref="L3:L4"/>
    <mergeCell ref="B14:B15"/>
    <mergeCell ref="G14:G15"/>
    <mergeCell ref="L14:L1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2"/>
  <sheetViews>
    <sheetView workbookViewId="0">
      <selection activeCell="D22" sqref="D22"/>
    </sheetView>
  </sheetViews>
  <sheetFormatPr defaultRowHeight="15" x14ac:dyDescent="0.25"/>
  <cols>
    <col min="2" max="2" width="39" customWidth="1"/>
    <col min="3" max="6" width="11" customWidth="1"/>
  </cols>
  <sheetData>
    <row r="4" spans="2:6" x14ac:dyDescent="0.25">
      <c r="B4" s="202"/>
      <c r="C4" s="106" t="s">
        <v>111</v>
      </c>
      <c r="D4" s="106" t="s">
        <v>111</v>
      </c>
      <c r="E4" s="107" t="s">
        <v>122</v>
      </c>
      <c r="F4" s="108" t="s">
        <v>122</v>
      </c>
    </row>
    <row r="5" spans="2:6" x14ac:dyDescent="0.25">
      <c r="B5" s="203"/>
      <c r="C5" s="109">
        <v>2014</v>
      </c>
      <c r="D5" s="110">
        <v>2013</v>
      </c>
      <c r="E5" s="109">
        <v>2014</v>
      </c>
      <c r="F5" s="110">
        <v>2013</v>
      </c>
    </row>
    <row r="6" spans="2:6" x14ac:dyDescent="0.25">
      <c r="B6" s="28" t="s">
        <v>112</v>
      </c>
      <c r="C6" s="29">
        <f>'Wybrane dane finansowe LLF'!C9/'Wybrane dane finansowe LLF'!C5</f>
        <v>2.6284888416693051E-2</v>
      </c>
      <c r="D6" s="29">
        <f>'Wybrane dane finansowe LLF'!D9/'Wybrane dane finansowe LLF'!D5</f>
        <v>1.7118007751416364E-2</v>
      </c>
      <c r="E6" s="30">
        <f>'Wybrane dane finansowe LLF'!H9/'Wybrane dane finansowe LLF'!H5</f>
        <v>3.6213015028568336E-2</v>
      </c>
      <c r="F6" s="31">
        <f>'Wybrane dane finansowe LLF'!I9/'Wybrane dane finansowe LLF'!I5</f>
        <v>2.8149907402329644E-2</v>
      </c>
    </row>
    <row r="7" spans="2:6" x14ac:dyDescent="0.25">
      <c r="B7" s="169" t="s">
        <v>113</v>
      </c>
      <c r="C7" s="170">
        <f>'Wybrane dane finansowe LLF'!C11/'Wybrane dane finansowe LLF'!C5</f>
        <v>5.4339268000498445E-2</v>
      </c>
      <c r="D7" s="170">
        <f>'Wybrane dane finansowe LLF'!D11/'Wybrane dane finansowe LLF'!D5</f>
        <v>5.1804868056477764E-2</v>
      </c>
      <c r="E7" s="171">
        <f>'Wybrane dane finansowe LLF'!H11/'Wybrane dane finansowe LLF'!H5</f>
        <v>6.5147166940672616E-2</v>
      </c>
      <c r="F7" s="172">
        <f>'Wybrane dane finansowe LLF'!I11/'Wybrane dane finansowe LLF'!I5</f>
        <v>6.0297731579544656E-2</v>
      </c>
    </row>
    <row r="8" spans="2:6" x14ac:dyDescent="0.25">
      <c r="B8" s="28" t="s">
        <v>114</v>
      </c>
      <c r="C8" s="29">
        <f>'Wybrane dane finansowe LLF'!C13/'Wybrane dane finansowe LLF'!C5</f>
        <v>2.370772599888309E-2</v>
      </c>
      <c r="D8" s="29">
        <f>'Wybrane dane finansowe LLF'!D13/'Wybrane dane finansowe LLF'!D5</f>
        <v>5.5927482290874546E-3</v>
      </c>
      <c r="E8" s="30">
        <f>'Wybrane dane finansowe LLF'!H13/'Wybrane dane finansowe LLF'!H5</f>
        <v>2.9365680544565478E-2</v>
      </c>
      <c r="F8" s="31">
        <f>'Wybrane dane finansowe LLF'!I13/'Wybrane dane finansowe LLF'!I5</f>
        <v>1.8806403259782448E-2</v>
      </c>
    </row>
    <row r="9" spans="2:6" x14ac:dyDescent="0.25">
      <c r="B9" s="32" t="s">
        <v>115</v>
      </c>
      <c r="C9" s="33">
        <f>'Wybrane dane finansowe LLF'!C13/('Wybrane dane finansowe LLF'!C16-'Wybrane dane finansowe LLF'!C24)</f>
        <v>1.8341986439385338E-2</v>
      </c>
      <c r="D9" s="33">
        <f>'Wybrane dane finansowe LLF'!D13/('Wybrane dane finansowe LLF'!D16-'Wybrane dane finansowe LLF'!D24)</f>
        <v>3.6307810426474615E-3</v>
      </c>
      <c r="E9" s="34">
        <f>'Wybrane dane finansowe LLF'!H13/('Wybrane dane finansowe LLF'!H16-'Wybrane dane finansowe LLF'!H24)</f>
        <v>6.422971638227068E-2</v>
      </c>
      <c r="F9" s="35">
        <f>'Wybrane dane finansowe LLF'!I13/('Wybrane dane finansowe LLF'!I16-'Wybrane dane finansowe LLF'!I24)</f>
        <v>3.7464996366714493E-2</v>
      </c>
    </row>
    <row r="10" spans="2:6" x14ac:dyDescent="0.25">
      <c r="B10" s="36" t="s">
        <v>116</v>
      </c>
      <c r="C10" s="29">
        <f>'Wybrane dane finansowe LLF'!C13/'Wybrane dane finansowe LLF'!C16</f>
        <v>9.1479411426239974E-3</v>
      </c>
      <c r="D10" s="29">
        <f>'Wybrane dane finansowe LLF'!D13/'Wybrane dane finansowe LLF'!D16</f>
        <v>1.7451125595558501E-3</v>
      </c>
      <c r="E10" s="30">
        <f>'Wybrane dane finansowe LLF'!H13/'Wybrane dane finansowe LLF'!H16</f>
        <v>3.203413474403019E-2</v>
      </c>
      <c r="F10" s="31">
        <f>'Wybrane dane finansowe LLF'!I13/'Wybrane dane finansowe LLF'!I16</f>
        <v>1.800731989489349E-2</v>
      </c>
    </row>
    <row r="11" spans="2:6" x14ac:dyDescent="0.25">
      <c r="B11" s="32" t="s">
        <v>117</v>
      </c>
      <c r="C11" s="33">
        <f>'Wybrane dane finansowe LLF'!C18/'Wybrane dane finansowe LLF'!C26</f>
        <v>1.3476385737301759</v>
      </c>
      <c r="D11" s="33">
        <f>'Wybrane dane finansowe LLF'!D18/'Wybrane dane finansowe LLF'!D26</f>
        <v>1.3194736757789656</v>
      </c>
      <c r="E11" s="34">
        <f>'Wybrane dane finansowe LLF'!H18/'Wybrane dane finansowe LLF'!H26</f>
        <v>1.3476385737301759</v>
      </c>
      <c r="F11" s="35">
        <f>'Wybrane dane finansowe LLF'!I18/'Wybrane dane finansowe LLF'!I26</f>
        <v>1.3194736757789656</v>
      </c>
    </row>
    <row r="12" spans="2:6" x14ac:dyDescent="0.25">
      <c r="B12" s="28" t="s">
        <v>118</v>
      </c>
      <c r="C12" s="29">
        <f>'Wybrane dane finansowe LLF'!C24/'Wybrane dane finansowe LLF'!C16</f>
        <v>0.50125679283129188</v>
      </c>
      <c r="D12" s="29">
        <f>'Wybrane dane finansowe LLF'!D24/'Wybrane dane finansowe LLF'!D16</f>
        <v>0.51935615531269708</v>
      </c>
      <c r="E12" s="30">
        <f>'Wybrane dane finansowe LLF'!H24/'Wybrane dane finansowe LLF'!H16</f>
        <v>0.50125679283129188</v>
      </c>
      <c r="F12" s="31">
        <f>'Wybrane dane finansowe LLF'!I24/'Wybrane dane finansowe LLF'!I16</f>
        <v>0.51935615531269708</v>
      </c>
    </row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workbookViewId="0">
      <selection activeCell="D16" sqref="D14:D16"/>
    </sheetView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5" ht="15.75" thickBot="1" x14ac:dyDescent="0.3"/>
    <row r="3" spans="2:5" ht="15.75" thickTop="1" x14ac:dyDescent="0.25">
      <c r="B3" s="204"/>
      <c r="C3" s="38" t="s">
        <v>119</v>
      </c>
      <c r="D3" s="38" t="s">
        <v>120</v>
      </c>
      <c r="E3" s="41" t="s">
        <v>120</v>
      </c>
    </row>
    <row r="4" spans="2:5" x14ac:dyDescent="0.25">
      <c r="B4" s="205"/>
      <c r="C4" s="37" t="s">
        <v>121</v>
      </c>
      <c r="D4" s="37" t="s">
        <v>111</v>
      </c>
      <c r="E4" s="42" t="s">
        <v>122</v>
      </c>
    </row>
    <row r="5" spans="2:5" x14ac:dyDescent="0.25">
      <c r="B5" s="39">
        <v>2012</v>
      </c>
      <c r="C5" s="176">
        <v>4.2163000000000004</v>
      </c>
      <c r="D5" s="177">
        <v>4.2414666666666667</v>
      </c>
      <c r="E5" s="181">
        <v>4.223122222222222</v>
      </c>
    </row>
    <row r="6" spans="2:5" ht="15.75" thickBot="1" x14ac:dyDescent="0.3">
      <c r="B6" s="40">
        <v>2013</v>
      </c>
      <c r="C6" s="178">
        <v>4.1755000000000004</v>
      </c>
      <c r="D6" s="180">
        <v>4.1841333333333326</v>
      </c>
      <c r="E6" s="179">
        <v>4.1803333333333335</v>
      </c>
    </row>
    <row r="7" spans="2:5" ht="15.75" thickTop="1" x14ac:dyDescent="0.25"/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LLF</vt:lpstr>
      <vt:lpstr>Sk. spr.z cał.doch. LLF</vt:lpstr>
      <vt:lpstr>Bilans LLF</vt:lpstr>
      <vt:lpstr>Zest.zmian w kap.wł. LLF</vt:lpstr>
      <vt:lpstr>Rach.przep.pienięż LLF</vt:lpstr>
      <vt:lpstr>Wybrane dane finansowe LLF</vt:lpstr>
      <vt:lpstr>Wskaźniki finansowe LLF</vt:lpstr>
      <vt:lpstr>Kursy walut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</cp:lastModifiedBy>
  <cp:lastPrinted>2014-11-06T14:59:43Z</cp:lastPrinted>
  <dcterms:created xsi:type="dcterms:W3CDTF">2013-11-04T11:55:12Z</dcterms:created>
  <dcterms:modified xsi:type="dcterms:W3CDTF">2014-11-14T12:44:45Z</dcterms:modified>
</cp:coreProperties>
</file>