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6855"/>
  </bookViews>
  <sheets>
    <sheet name="RZiS GK" sheetId="2" r:id="rId1"/>
    <sheet name="Sk. spr.z cał.doch.GK" sheetId="4" r:id="rId2"/>
    <sheet name="Bilans GK" sheetId="3" r:id="rId3"/>
    <sheet name="Zest.zmian w kap.wł. GK" sheetId="5" r:id="rId4"/>
    <sheet name="Rach.przep.pienięż GK" sheetId="6" r:id="rId5"/>
    <sheet name="Wybrane dane finansowe GK" sheetId="7" r:id="rId6"/>
    <sheet name="Wskaźniki finansowe GK" sheetId="8" r:id="rId7"/>
    <sheet name="Kursy walut" sheetId="9" r:id="rId8"/>
  </sheets>
  <externalReferences>
    <externalReference r:id="rId9"/>
  </externalReferences>
  <definedNames>
    <definedName name="_xlnm.Print_Area" localSheetId="4">'Rach.przep.pienięż GK'!$A$1:$G$40</definedName>
  </definedNames>
  <calcPr calcId="145621"/>
</workbook>
</file>

<file path=xl/calcChain.xml><?xml version="1.0" encoding="utf-8"?>
<calcChain xmlns="http://schemas.openxmlformats.org/spreadsheetml/2006/main">
  <c r="D7" i="8" l="1"/>
  <c r="D10" i="8"/>
  <c r="C10" i="8"/>
  <c r="C9" i="8"/>
  <c r="K28" i="7"/>
  <c r="J28" i="7"/>
  <c r="K27" i="7"/>
  <c r="J27" i="7"/>
  <c r="K26" i="7"/>
  <c r="J26" i="7"/>
  <c r="K25" i="7"/>
  <c r="J25" i="7"/>
  <c r="K24" i="7"/>
  <c r="J24" i="7"/>
  <c r="K23" i="7"/>
  <c r="J23" i="7"/>
  <c r="K22" i="7"/>
  <c r="J22" i="7"/>
  <c r="K21" i="7"/>
  <c r="J21" i="7"/>
  <c r="K20" i="7"/>
  <c r="J20" i="7"/>
  <c r="K19" i="7"/>
  <c r="J19" i="7"/>
  <c r="K18" i="7"/>
  <c r="J18" i="7"/>
  <c r="K17" i="7"/>
  <c r="J17" i="7"/>
  <c r="K16" i="7"/>
  <c r="J16" i="7"/>
  <c r="L19" i="7"/>
  <c r="G19" i="7"/>
  <c r="F17" i="7"/>
  <c r="F18" i="7"/>
  <c r="F19" i="7"/>
  <c r="F20" i="7"/>
  <c r="F21" i="7"/>
  <c r="F22" i="7"/>
  <c r="F23" i="7"/>
  <c r="F24" i="7"/>
  <c r="F25" i="7"/>
  <c r="F26" i="7"/>
  <c r="F27" i="7"/>
  <c r="F28" i="7"/>
  <c r="F16" i="7"/>
  <c r="E17" i="7"/>
  <c r="E18" i="7"/>
  <c r="E19" i="7"/>
  <c r="E20" i="7"/>
  <c r="E21" i="7"/>
  <c r="E22" i="7"/>
  <c r="E23" i="7"/>
  <c r="E24" i="7"/>
  <c r="E25" i="7"/>
  <c r="E26" i="7"/>
  <c r="E27" i="7"/>
  <c r="E28" i="7"/>
  <c r="E16" i="7"/>
  <c r="K6" i="7"/>
  <c r="K7" i="7"/>
  <c r="K8" i="7"/>
  <c r="K9" i="7"/>
  <c r="K10" i="7"/>
  <c r="K11" i="7"/>
  <c r="K12" i="7"/>
  <c r="K13" i="7"/>
  <c r="K5" i="7"/>
  <c r="J6" i="7"/>
  <c r="J7" i="7"/>
  <c r="J8" i="7"/>
  <c r="J9" i="7"/>
  <c r="J10" i="7"/>
  <c r="J12" i="7"/>
  <c r="J13" i="7"/>
  <c r="J5" i="7"/>
  <c r="F6" i="7"/>
  <c r="F7" i="7"/>
  <c r="F8" i="7"/>
  <c r="F9" i="7"/>
  <c r="F10" i="7"/>
  <c r="F11" i="7"/>
  <c r="F12" i="7"/>
  <c r="F13" i="7"/>
  <c r="F5" i="7"/>
  <c r="E6" i="7"/>
  <c r="E7" i="7"/>
  <c r="E8" i="7"/>
  <c r="E9" i="7"/>
  <c r="E10" i="7"/>
  <c r="E12" i="7"/>
  <c r="E13" i="7"/>
  <c r="E5" i="7"/>
  <c r="I24" i="7"/>
  <c r="H24" i="7"/>
  <c r="I22" i="7"/>
  <c r="I21" i="7" s="1"/>
  <c r="H22" i="7"/>
  <c r="H21" i="7"/>
  <c r="I16" i="7"/>
  <c r="H16" i="7"/>
  <c r="D22" i="7"/>
  <c r="C22" i="7"/>
  <c r="C16" i="7"/>
  <c r="D16" i="7"/>
  <c r="D8" i="7"/>
  <c r="I8" i="7"/>
  <c r="C31" i="6"/>
  <c r="E5" i="6"/>
  <c r="D25" i="6" l="1"/>
  <c r="J6" i="6"/>
  <c r="H6" i="6" l="1"/>
  <c r="K5" i="6" l="1"/>
  <c r="I5" i="6"/>
  <c r="K39" i="6"/>
  <c r="I39" i="6"/>
  <c r="I38" i="6"/>
  <c r="K37" i="6"/>
  <c r="I37" i="6"/>
  <c r="K36" i="6"/>
  <c r="I36" i="6"/>
  <c r="J35" i="6"/>
  <c r="H35" i="6"/>
  <c r="J33" i="6"/>
  <c r="H33" i="6"/>
  <c r="K32" i="6"/>
  <c r="I32" i="6"/>
  <c r="K31" i="6"/>
  <c r="I31" i="6"/>
  <c r="K30" i="6"/>
  <c r="I30" i="6"/>
  <c r="K28" i="6"/>
  <c r="I28" i="6"/>
  <c r="K27" i="6"/>
  <c r="I27" i="6"/>
  <c r="K26" i="6"/>
  <c r="I26" i="6"/>
  <c r="K25" i="6"/>
  <c r="I25" i="6"/>
  <c r="J24" i="6"/>
  <c r="H24" i="6"/>
  <c r="K23" i="6"/>
  <c r="I23" i="6"/>
  <c r="K22" i="6"/>
  <c r="I22" i="6"/>
  <c r="K21" i="6"/>
  <c r="I21" i="6"/>
  <c r="K20" i="6"/>
  <c r="I20" i="6"/>
  <c r="J19" i="6"/>
  <c r="J29" i="6" s="1"/>
  <c r="H19" i="6"/>
  <c r="K18" i="6"/>
  <c r="I18" i="6"/>
  <c r="K16" i="6"/>
  <c r="I16" i="6"/>
  <c r="K15" i="6"/>
  <c r="I15" i="6"/>
  <c r="K14" i="6"/>
  <c r="I14" i="6"/>
  <c r="K13" i="6"/>
  <c r="I13" i="6"/>
  <c r="K12" i="6"/>
  <c r="I12" i="6"/>
  <c r="K11" i="6"/>
  <c r="I11" i="6"/>
  <c r="K10" i="6"/>
  <c r="I10" i="6"/>
  <c r="K9" i="6"/>
  <c r="I9" i="6"/>
  <c r="K8" i="6"/>
  <c r="I8" i="6"/>
  <c r="K7" i="6"/>
  <c r="I7" i="6"/>
  <c r="H17" i="6"/>
  <c r="J17" i="6" l="1"/>
  <c r="H29" i="6"/>
  <c r="J34" i="6" l="1"/>
  <c r="H34" i="6"/>
  <c r="F38" i="6"/>
  <c r="K38" i="6" s="1"/>
  <c r="F6" i="6"/>
  <c r="K6" i="6" s="1"/>
  <c r="C51" i="3"/>
  <c r="I14" i="5"/>
  <c r="J14" i="5" s="1"/>
  <c r="I13" i="5"/>
  <c r="I12" i="5"/>
  <c r="I11" i="5"/>
  <c r="I10" i="5"/>
  <c r="E17" i="5"/>
  <c r="H26" i="5" l="1"/>
  <c r="C17" i="3"/>
  <c r="D51" i="3" l="1"/>
  <c r="D49" i="3"/>
  <c r="D28" i="3"/>
  <c r="D15" i="3"/>
  <c r="D29" i="2"/>
  <c r="D7" i="2"/>
  <c r="D4" i="2"/>
  <c r="D10" i="2" l="1"/>
  <c r="D17" i="2" s="1"/>
  <c r="D21" i="2" s="1"/>
  <c r="D24" i="2" s="1"/>
  <c r="D26" i="2" s="1"/>
  <c r="D4" i="4" s="1"/>
  <c r="D11" i="4" s="1"/>
  <c r="D13" i="4" s="1"/>
  <c r="L28" i="7" l="1"/>
  <c r="G28" i="7"/>
  <c r="L27" i="7"/>
  <c r="G27" i="7"/>
  <c r="L26" i="7"/>
  <c r="G26" i="7"/>
  <c r="L25" i="7"/>
  <c r="G25" i="7"/>
  <c r="L24" i="7"/>
  <c r="D24" i="7"/>
  <c r="C24" i="7"/>
  <c r="L22" i="7"/>
  <c r="D21" i="7"/>
  <c r="G22" i="7"/>
  <c r="L21" i="7"/>
  <c r="L20" i="7"/>
  <c r="G20" i="7"/>
  <c r="L18" i="7"/>
  <c r="G18" i="7"/>
  <c r="L17" i="7"/>
  <c r="G17" i="7"/>
  <c r="L16" i="7"/>
  <c r="G16" i="7"/>
  <c r="I12" i="7"/>
  <c r="H12" i="7"/>
  <c r="L13" i="7" s="1"/>
  <c r="C13" i="7"/>
  <c r="G13" i="7" s="1"/>
  <c r="I11" i="7"/>
  <c r="H11" i="7"/>
  <c r="J11" i="7" s="1"/>
  <c r="D11" i="7"/>
  <c r="L10" i="7"/>
  <c r="G10" i="7"/>
  <c r="L9" i="7"/>
  <c r="G9" i="7"/>
  <c r="L8" i="7"/>
  <c r="L7" i="7"/>
  <c r="G7" i="7"/>
  <c r="L6" i="7"/>
  <c r="G6" i="7"/>
  <c r="C11" i="7"/>
  <c r="E11" i="7" s="1"/>
  <c r="L5" i="7"/>
  <c r="G5" i="7"/>
  <c r="F35" i="6"/>
  <c r="K35" i="6" s="1"/>
  <c r="E35" i="6"/>
  <c r="I35" i="6" s="1"/>
  <c r="D35" i="6"/>
  <c r="C35" i="6"/>
  <c r="F33" i="6"/>
  <c r="K33" i="6" s="1"/>
  <c r="E33" i="6"/>
  <c r="I33" i="6" s="1"/>
  <c r="D33" i="6"/>
  <c r="C33" i="6"/>
  <c r="F24" i="6"/>
  <c r="K24" i="6" s="1"/>
  <c r="E24" i="6"/>
  <c r="I24" i="6" s="1"/>
  <c r="D24" i="6"/>
  <c r="D29" i="6" s="1"/>
  <c r="F19" i="6"/>
  <c r="K19" i="6" s="1"/>
  <c r="E19" i="6"/>
  <c r="C29" i="6"/>
  <c r="E6" i="6"/>
  <c r="D6" i="6"/>
  <c r="D17" i="6" s="1"/>
  <c r="C6" i="6"/>
  <c r="C17" i="6" s="1"/>
  <c r="I26" i="5"/>
  <c r="J26" i="5" s="1"/>
  <c r="I25" i="5"/>
  <c r="J25" i="5" s="1"/>
  <c r="I24" i="5"/>
  <c r="J24" i="5" s="1"/>
  <c r="I23" i="5"/>
  <c r="J23" i="5" s="1"/>
  <c r="I22" i="5"/>
  <c r="J22" i="5" s="1"/>
  <c r="I21" i="5"/>
  <c r="J21" i="5" s="1"/>
  <c r="H20" i="5"/>
  <c r="H27" i="5" s="1"/>
  <c r="F5" i="5" s="1"/>
  <c r="F8" i="5" s="1"/>
  <c r="F15" i="5" s="1"/>
  <c r="G20" i="5"/>
  <c r="G27" i="5" s="1"/>
  <c r="G5" i="5" s="1"/>
  <c r="G8" i="5" s="1"/>
  <c r="G15" i="5" s="1"/>
  <c r="F20" i="5"/>
  <c r="F27" i="5" s="1"/>
  <c r="E20" i="5"/>
  <c r="E27" i="5" s="1"/>
  <c r="E5" i="5" s="1"/>
  <c r="D20" i="5"/>
  <c r="D27" i="5" s="1"/>
  <c r="D5" i="5" s="1"/>
  <c r="D8" i="5" s="1"/>
  <c r="D15" i="5" s="1"/>
  <c r="C20" i="5"/>
  <c r="C27" i="5" s="1"/>
  <c r="C5" i="5" s="1"/>
  <c r="J19" i="5"/>
  <c r="J18" i="5"/>
  <c r="I17" i="5"/>
  <c r="J17" i="5" s="1"/>
  <c r="J20" i="5" s="1"/>
  <c r="J12" i="5"/>
  <c r="H8" i="5"/>
  <c r="H15" i="5" s="1"/>
  <c r="E8" i="5"/>
  <c r="E15" i="5" s="1"/>
  <c r="B5" i="5"/>
  <c r="C46" i="3"/>
  <c r="D46" i="3"/>
  <c r="D38" i="3"/>
  <c r="C38" i="3"/>
  <c r="C28" i="3"/>
  <c r="C13" i="3"/>
  <c r="D13" i="3"/>
  <c r="D4" i="3"/>
  <c r="C4" i="3"/>
  <c r="F7" i="2"/>
  <c r="E7" i="2"/>
  <c r="C7" i="2"/>
  <c r="F4" i="2"/>
  <c r="E4" i="2"/>
  <c r="C4" i="2"/>
  <c r="G11" i="7" l="1"/>
  <c r="G24" i="7"/>
  <c r="L12" i="7"/>
  <c r="L11" i="7"/>
  <c r="E29" i="6"/>
  <c r="I29" i="6" s="1"/>
  <c r="I19" i="6"/>
  <c r="E17" i="6"/>
  <c r="I17" i="6" s="1"/>
  <c r="I6" i="6"/>
  <c r="F29" i="6"/>
  <c r="K29" i="6" s="1"/>
  <c r="F17" i="6"/>
  <c r="K17" i="6" s="1"/>
  <c r="C56" i="3"/>
  <c r="I20" i="5"/>
  <c r="I27" i="5" s="1"/>
  <c r="J27" i="5" s="1"/>
  <c r="C24" i="3"/>
  <c r="C10" i="2"/>
  <c r="C17" i="2" s="1"/>
  <c r="C21" i="2" s="1"/>
  <c r="C26" i="2" s="1"/>
  <c r="C4" i="4" s="1"/>
  <c r="C11" i="4" s="1"/>
  <c r="C13" i="4" s="1"/>
  <c r="D24" i="3"/>
  <c r="E10" i="2"/>
  <c r="E17" i="2" s="1"/>
  <c r="E21" i="2" s="1"/>
  <c r="E26" i="2" s="1"/>
  <c r="F34" i="2"/>
  <c r="F32" i="2"/>
  <c r="F30" i="2"/>
  <c r="F29" i="2"/>
  <c r="F33" i="2"/>
  <c r="F10" i="2"/>
  <c r="F17" i="2" s="1"/>
  <c r="F21" i="2" s="1"/>
  <c r="F24" i="2" s="1"/>
  <c r="F26" i="2" s="1"/>
  <c r="G12" i="7"/>
  <c r="C21" i="7"/>
  <c r="D34" i="6"/>
  <c r="C34" i="6"/>
  <c r="I5" i="5"/>
  <c r="C8" i="5"/>
  <c r="C15" i="5" s="1"/>
  <c r="D56" i="3"/>
  <c r="D57" i="3" s="1"/>
  <c r="D30" i="2"/>
  <c r="D34" i="2"/>
  <c r="D33" i="2"/>
  <c r="D32" i="2"/>
  <c r="D31" i="2"/>
  <c r="F31" i="2" l="1"/>
  <c r="F4" i="4"/>
  <c r="F11" i="4" s="1"/>
  <c r="F13" i="4" s="1"/>
  <c r="E34" i="6"/>
  <c r="I34" i="6" s="1"/>
  <c r="F34" i="6"/>
  <c r="K34" i="6" s="1"/>
  <c r="C57" i="3"/>
  <c r="C27" i="2"/>
  <c r="C32" i="2" s="1"/>
  <c r="E27" i="2"/>
  <c r="E34" i="2" s="1"/>
  <c r="E4" i="4"/>
  <c r="E11" i="4" s="1"/>
  <c r="E13" i="4" s="1"/>
  <c r="G21" i="7"/>
  <c r="I8" i="5"/>
  <c r="I15" i="5" s="1"/>
  <c r="J5" i="5"/>
  <c r="J8" i="5" s="1"/>
  <c r="J15" i="5" s="1"/>
  <c r="C29" i="2" l="1"/>
  <c r="C30" i="2"/>
  <c r="C33" i="2"/>
  <c r="C34" i="2"/>
  <c r="C31" i="2"/>
  <c r="E32" i="2"/>
  <c r="E29" i="2"/>
  <c r="E33" i="2"/>
  <c r="E31" i="2"/>
  <c r="E30" i="2"/>
  <c r="F12" i="8"/>
  <c r="E12" i="8"/>
  <c r="D12" i="8"/>
  <c r="C12" i="8"/>
  <c r="F11" i="8"/>
  <c r="E11" i="8"/>
  <c r="D11" i="8"/>
  <c r="C11" i="8"/>
  <c r="F10" i="8"/>
  <c r="E10" i="8"/>
  <c r="F9" i="8"/>
  <c r="E9" i="8"/>
  <c r="D9" i="8"/>
  <c r="F8" i="8"/>
  <c r="E8" i="8"/>
  <c r="F7" i="8"/>
  <c r="E7" i="8"/>
  <c r="F6" i="8"/>
  <c r="E6" i="8"/>
  <c r="D8" i="8"/>
  <c r="C8" i="8"/>
  <c r="C7" i="8"/>
  <c r="D6" i="8"/>
  <c r="C6" i="8"/>
</calcChain>
</file>

<file path=xl/sharedStrings.xml><?xml version="1.0" encoding="utf-8"?>
<sst xmlns="http://schemas.openxmlformats.org/spreadsheetml/2006/main" count="266" uniqueCount="184">
  <si>
    <t>Przychody ze sprzedaży</t>
  </si>
  <si>
    <t>Przychody ze sprzedaży produktów i usług</t>
  </si>
  <si>
    <t>Przychody ze sprzedaży towarów i materiałów</t>
  </si>
  <si>
    <t>Koszty sprzedanych produktów, towarów i materiałów</t>
  </si>
  <si>
    <t>Koszty wytworzenia sprzedanych produktów i usług</t>
  </si>
  <si>
    <t>Wartość sprzedanych towarów i materiałów</t>
  </si>
  <si>
    <t>Zysk  (strata) brutto na sprzedaży</t>
  </si>
  <si>
    <t>Różnica z tytułu przekazania aktywów niegotówkowych właścicielom</t>
  </si>
  <si>
    <t>Pozostałe przychody operacyjne</t>
  </si>
  <si>
    <t>Koszty sprzedaży</t>
  </si>
  <si>
    <t>Koszty ogólnego zarządu</t>
  </si>
  <si>
    <t>Nakłady na prace badawcze i rozwojowe</t>
  </si>
  <si>
    <t>Pozostałe koszty operacyjne</t>
  </si>
  <si>
    <t>Zysk (strata) na działalności operacyjnej</t>
  </si>
  <si>
    <t>Przychody finansowe</t>
  </si>
  <si>
    <t>Koszty finansowe</t>
  </si>
  <si>
    <t>Udział w zyskach (stratach) netto jednostek wycenianych metodą praw własności</t>
  </si>
  <si>
    <t>Zysk (strata) przed opodatkowaniem</t>
  </si>
  <si>
    <t>Podatek dochodowy</t>
  </si>
  <si>
    <t>Zysk (strata) netto należny udziałowcom mniejszościowym</t>
  </si>
  <si>
    <t>Zysk (strata) netto z działalności kontynuowanej</t>
  </si>
  <si>
    <t>Zysk (strata) z działalności zaniechanej</t>
  </si>
  <si>
    <t>Zysk (strata) netto</t>
  </si>
  <si>
    <t>Zysk (strata) netto należny akcjonariuszom jenostki dominującej</t>
  </si>
  <si>
    <t>Zysk (strata) netto na jedną akcję (w zł)</t>
  </si>
  <si>
    <t>Podstawowy za okres obrotowy</t>
  </si>
  <si>
    <t>Rozwodniony za okres obrotowy</t>
  </si>
  <si>
    <t>Zysk (strata) netto na jedną akcję z działalności kontynuowanej (w zł)</t>
  </si>
  <si>
    <t>Zysk (strata) netto na jedną akcję z działalności zaniechanej (w zł)</t>
  </si>
  <si>
    <t>w tys. PLN</t>
  </si>
  <si>
    <t>Aktywa trwałe</t>
  </si>
  <si>
    <t>Rzeczowe aktywa trwałe</t>
  </si>
  <si>
    <t xml:space="preserve">Wartości niematerialne </t>
  </si>
  <si>
    <t>Nieruchomości inwestycyjne</t>
  </si>
  <si>
    <t>Inwestycje w jednostkach podporządkowanych</t>
  </si>
  <si>
    <t>Aktywa finansowe dostepne do sprzedaży</t>
  </si>
  <si>
    <t>Pozostałe aktywa finansowe</t>
  </si>
  <si>
    <t>Aktywa z tytułu odroczonego podatku dochodowego</t>
  </si>
  <si>
    <t>Należności długoterminowe</t>
  </si>
  <si>
    <t>Aktywa obrotowe</t>
  </si>
  <si>
    <t>Zapasy</t>
  </si>
  <si>
    <t>Należności handlowe</t>
  </si>
  <si>
    <t>Należności z tytułu bieżącego podatku dochodowego</t>
  </si>
  <si>
    <t xml:space="preserve">Pozostałe należności </t>
  </si>
  <si>
    <t>Aktywa finansowe dostępne do sprzedaży</t>
  </si>
  <si>
    <t>Aktywa finansowe wyceniane w wartości godziwej przez wynik finansowy</t>
  </si>
  <si>
    <t>Rozliczenia międzyokresowe</t>
  </si>
  <si>
    <t>Środki pieniężne i ich ekwiwalenty</t>
  </si>
  <si>
    <t>Aktywa zaklasyfikowane jako przeznaczone do sprzedaży</t>
  </si>
  <si>
    <t>AKTYWA  RAZEM</t>
  </si>
  <si>
    <t>AKTYWA</t>
  </si>
  <si>
    <t>PASYWA</t>
  </si>
  <si>
    <t>Kapitał własny</t>
  </si>
  <si>
    <t>Kapitał zakładowy</t>
  </si>
  <si>
    <t>Kapitał zapasowy z emisji akcji powyżej wartości nominalnej</t>
  </si>
  <si>
    <t>Akcje własne</t>
  </si>
  <si>
    <t>Pozostałe kapitały</t>
  </si>
  <si>
    <t>Niepodzielony wynik finansowy</t>
  </si>
  <si>
    <t>Różnice kursowe z przeliczenia</t>
  </si>
  <si>
    <t>Zyski zatrzymane</t>
  </si>
  <si>
    <t>Wynik finansowy bieżącego okresu</t>
  </si>
  <si>
    <t>Kapitał akcjonariuszy mniejszościowych</t>
  </si>
  <si>
    <t>Zobowiązanie długoterminowe</t>
  </si>
  <si>
    <t>Kredyty i pożyczki</t>
  </si>
  <si>
    <t>Pozostałe zobowiązania finansowe</t>
  </si>
  <si>
    <t>Inne zobowiązania długoterminowe</t>
  </si>
  <si>
    <t>Rezerwy z tytułu odroczonego podatku dochodowego</t>
  </si>
  <si>
    <t>Rozliczenia międzyokresowe przychodów</t>
  </si>
  <si>
    <t>Rezerwa na świadczenia emerytalne i podobne</t>
  </si>
  <si>
    <t>Pozostałe rezerwy</t>
  </si>
  <si>
    <t>Zobowiązania krótkoterminowe</t>
  </si>
  <si>
    <t>Zobowiązania handlowe</t>
  </si>
  <si>
    <t>Zobowiązania z tytułu bieżącego podatku dochodowego</t>
  </si>
  <si>
    <t>Pozostałe zobowiązania</t>
  </si>
  <si>
    <t>Zobowiązania bezpośrednio związane z aktywami klasyfikowanymi jako przeznaczone do sprzedaży</t>
  </si>
  <si>
    <t>PASYWA  RAZEM</t>
  </si>
  <si>
    <t>Wartość księgowa na akcję (w zł)</t>
  </si>
  <si>
    <t>Zmiany w nadwyżce z przeszacowania</t>
  </si>
  <si>
    <t>Zyski (straty) z tytułu przeszacowania składników aktywów finansowych dostępnych do sprzedaży</t>
  </si>
  <si>
    <t>Efektywna część zysków i strat związanych z instrumentami zabezpieczającymi przepływy środków pieniężnych</t>
  </si>
  <si>
    <t>Zyski (straty) aktuarialne z programów określonych świadczeń emerytalnych</t>
  </si>
  <si>
    <t>Różnice kursowe z wyceny jednostek działających za granicą</t>
  </si>
  <si>
    <t>Podatek dochodowy związany z elementami pozostałych całkowitych dochodów</t>
  </si>
  <si>
    <t xml:space="preserve">Suma dochodów całkowitych </t>
  </si>
  <si>
    <t>Suma dochodów całkowitych przypisana akcjonariuszom niekontrolującym</t>
  </si>
  <si>
    <t>Suma dochodów całkowitych przypadająca na podmiot dominujący</t>
  </si>
  <si>
    <t xml:space="preserve">Kapitały zapasowy ze sprzedaży akcji powyżej ceny nominalnej </t>
  </si>
  <si>
    <t>Kapitał własny akcjonariuszy jednostki dominującej</t>
  </si>
  <si>
    <t>Kapitał
własny ogółem</t>
  </si>
  <si>
    <t>Zmiany zasad (polityki) rachunkowości</t>
  </si>
  <si>
    <t>Korekty z tyt. błędów podstawowych</t>
  </si>
  <si>
    <t>Kapitał własny po korektach</t>
  </si>
  <si>
    <t>Emisja akcji</t>
  </si>
  <si>
    <t>Koszty emisji akcji</t>
  </si>
  <si>
    <t>Płatność w formie akcji własnych</t>
  </si>
  <si>
    <t>Podział zysku netto</t>
  </si>
  <si>
    <t>Wypłata dywidendy</t>
  </si>
  <si>
    <t>Suma dochodów całkowitych</t>
  </si>
  <si>
    <t>Kapitał własny na dzień  01.01.2012 r.</t>
  </si>
  <si>
    <t>Dynamika (PLN)</t>
  </si>
  <si>
    <t>2013 PLN</t>
  </si>
  <si>
    <t>2012 PLN</t>
  </si>
  <si>
    <t>2013 EUR</t>
  </si>
  <si>
    <t>2012 EUR</t>
  </si>
  <si>
    <t>Amortyzacja</t>
  </si>
  <si>
    <t>Zysk (strata) ze sprzedaży brutto</t>
  </si>
  <si>
    <t>Zysk (strata) ze sprzedaży netto</t>
  </si>
  <si>
    <t>Zysk (strata) z działalności operacyjnej</t>
  </si>
  <si>
    <t>Zysk z działalności gospodarczej</t>
  </si>
  <si>
    <t>*</t>
  </si>
  <si>
    <t>EBITDA</t>
  </si>
  <si>
    <t>Zysk (strata) brutto</t>
  </si>
  <si>
    <t>Aktywa razem, w tym:</t>
  </si>
  <si>
    <t>Środki pieniężne i inne aktywa pieniężne</t>
  </si>
  <si>
    <t>Należności razem, w tym:</t>
  </si>
  <si>
    <t>Należności krótkoterminowe</t>
  </si>
  <si>
    <t>Należności  długoterminowe</t>
  </si>
  <si>
    <t>Zobowiązania i rezerwy na zobowiązania, w tym:</t>
  </si>
  <si>
    <t>Zobowiązania długoterminowe</t>
  </si>
  <si>
    <t>Kapitał własny, w tym:</t>
  </si>
  <si>
    <t>Kapitał podstawowy</t>
  </si>
  <si>
    <t>Wskaźnik rentowności operacyjnej</t>
  </si>
  <si>
    <t>Wskaźnik rentowności EBITDA</t>
  </si>
  <si>
    <t>Wskaźnik rentowności netto</t>
  </si>
  <si>
    <t>Wskaźnik rentowności kapitału własnego (ROE)</t>
  </si>
  <si>
    <t>Wskaźnik rentowności majątku (ROA)</t>
  </si>
  <si>
    <t>Wskaźnik ogólnej płynności</t>
  </si>
  <si>
    <t>Wskaźnik ogólnego zadłużenia</t>
  </si>
  <si>
    <t>Kurs euro na dzień bilansowy</t>
  </si>
  <si>
    <t>Średni kurs euro w okresie</t>
  </si>
  <si>
    <t>F. Środki pieniężne na początek okresu</t>
  </si>
  <si>
    <t>A. DZIAŁALNOŚĆ OPERACYJNA</t>
  </si>
  <si>
    <t>B. DZIAŁALNOŚĆ INWESTYCYJNA</t>
  </si>
  <si>
    <t>I. Wpływy</t>
  </si>
  <si>
    <t>II. Wydatki</t>
  </si>
  <si>
    <t>C. DZIAŁALNOŚĆ FINANSOWA</t>
  </si>
  <si>
    <t>za okres 01.10.2013 - 31.12.2013</t>
  </si>
  <si>
    <t>za okres 01.10.2012 - 31.12.2012</t>
  </si>
  <si>
    <t>za okres 01.01.2013 - 31.12.2013</t>
  </si>
  <si>
    <t>za okres 01.01.2012 - 31.12.2012</t>
  </si>
  <si>
    <t>stan na 31.12.2013 r.</t>
  </si>
  <si>
    <t>stan na 31.12.2012 r.</t>
  </si>
  <si>
    <t>dwanaście miesięcy zakończonych 31.12.2013 r.</t>
  </si>
  <si>
    <t>Kapitał własny na dzień  31.12.2013 r.</t>
  </si>
  <si>
    <t>dwanaście miesięcy zakończonych 31.12.2012 r.</t>
  </si>
  <si>
    <t>Kapitał własny na dzień  31.12.2012 r.</t>
  </si>
  <si>
    <t>I. Zysk (strata) przed opodatkowaniem</t>
  </si>
  <si>
    <t>II. Korekty razem</t>
  </si>
  <si>
    <t>1. Amortyzacja (w tym odpisy wartości firmy lub ujemnej wartości firmy)</t>
  </si>
  <si>
    <t>2. Zyski (straty) z tytułu różnic kursowych</t>
  </si>
  <si>
    <t>3. Odsetki i udziały w zyskach (dywidendy)</t>
  </si>
  <si>
    <t>4. Zysk (strata) z działalnosci inwestycyjnej</t>
  </si>
  <si>
    <t>5. Zmiana stanu rezerw</t>
  </si>
  <si>
    <t>6. Zmiana stanu zapasów</t>
  </si>
  <si>
    <t>7. Zmiana stanu należności</t>
  </si>
  <si>
    <t>8. Zmiana stanu zobowiązań krótkoterminowych, z z wyjątkiem pożyczek i kredytów</t>
  </si>
  <si>
    <t>9. Zmiana stanu rozliczeń międzyokresowych</t>
  </si>
  <si>
    <t>10. Inne korekty z działalności operacyjnej</t>
  </si>
  <si>
    <t>III. Przepływy pieniężne netto z działalności operacyjnej (I+/–II)</t>
  </si>
  <si>
    <t>1. Zbycie wartości niematerialnych i prawnych oraz rzeczowych aktywów trwałych</t>
  </si>
  <si>
    <t>2. Zbycie inwestycji w nieruchomości oraz wartości niematerialne i prawne</t>
  </si>
  <si>
    <t>3. Z aktywów finansowych</t>
  </si>
  <si>
    <t>4. Inne wpływy inwestycyjne</t>
  </si>
  <si>
    <t>1. Nabycie wartości niematerialnych i prawnych oraz rzeczowych aktywów trwałych</t>
  </si>
  <si>
    <t>2. Inwestycje w nieruchomości oraz wartości niematerialane i prawne</t>
  </si>
  <si>
    <t>4. Inne wydatki inwestycyjne</t>
  </si>
  <si>
    <t>III. Przepływy pieniężne netto z działalności inwestycyjnej (I–II)</t>
  </si>
  <si>
    <t>III. Przepływy pieniężne netto z działalności finansowej (I–II)</t>
  </si>
  <si>
    <t>D. Przepływy pieniężne netto razem (A.III.+/–B.III+/–C.III)</t>
  </si>
  <si>
    <t>E. Bilansowa zmiana stanu środków pieniężnych, w tym:</t>
  </si>
  <si>
    <t>– zmiana stanu środków pienięznych z tytułu różnic kursowych</t>
  </si>
  <si>
    <t>G. Środki pieniężne na koniec okresu (F+D), w tym</t>
  </si>
  <si>
    <t>– o ograniczonej mozliwości dysponowania</t>
  </si>
  <si>
    <t>4Q</t>
  </si>
  <si>
    <t>1-4Q</t>
  </si>
  <si>
    <t>31.12</t>
  </si>
  <si>
    <t>za okres 01.01.2013 - 30.09.2013</t>
  </si>
  <si>
    <t>sam kwartał 4/2013</t>
  </si>
  <si>
    <t>za okres 01.01.2012 - 30.09.2012</t>
  </si>
  <si>
    <t>sam kwartał 4/2012</t>
  </si>
  <si>
    <t>3. Na aktywa finansowe</t>
  </si>
  <si>
    <t>(31.12.)</t>
  </si>
  <si>
    <t>1-4 Q</t>
  </si>
  <si>
    <t>1 - 4Q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</si>
</sst>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.000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9"/>
      <name val="Calibri"/>
      <family val="2"/>
      <charset val="238"/>
    </font>
    <font>
      <b/>
      <sz val="9"/>
      <color rgb="FFC0000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80">
    <border>
      <left/>
      <right/>
      <top/>
      <bottom/>
      <diagonal/>
    </border>
    <border>
      <left style="double">
        <color rgb="FF808080"/>
      </left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double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double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double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0" tint="-0.499984740745262"/>
      </left>
      <right style="double">
        <color rgb="FF808080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rgb="FF808080"/>
      </left>
      <right/>
      <top style="double">
        <color rgb="FF808080"/>
      </top>
      <bottom style="thin">
        <color rgb="FF808080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double">
        <color rgb="FF808080"/>
      </right>
      <top style="double">
        <color rgb="FF808080"/>
      </top>
      <bottom style="thin">
        <color rgb="FF808080"/>
      </bottom>
      <diagonal/>
    </border>
    <border>
      <left/>
      <right/>
      <top style="double">
        <color rgb="FF808080"/>
      </top>
      <bottom style="thin">
        <color rgb="FF80808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double">
        <color theme="1" tint="0.499984740745262"/>
      </left>
      <right/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double">
        <color theme="1" tint="0.499984740745262"/>
      </top>
      <bottom/>
      <diagonal/>
    </border>
    <border>
      <left/>
      <right style="thin">
        <color theme="1" tint="0.499984740745262"/>
      </right>
      <top style="double">
        <color theme="1" tint="0.499984740745262"/>
      </top>
      <bottom/>
      <diagonal/>
    </border>
    <border>
      <left/>
      <right/>
      <top style="double">
        <color theme="1" tint="0.499984740745262"/>
      </top>
      <bottom/>
      <diagonal/>
    </border>
    <border>
      <left/>
      <right style="double">
        <color theme="1" tint="0.499984740745262"/>
      </right>
      <top style="double">
        <color theme="1" tint="0.499984740745262"/>
      </top>
      <bottom/>
      <diagonal/>
    </border>
    <border>
      <left style="double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uble">
        <color theme="1" tint="0.499984740745262"/>
      </right>
      <top/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/>
      <right/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double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thin">
        <color theme="0" tint="-0.499984740745262"/>
      </bottom>
      <diagonal/>
    </border>
    <border>
      <left/>
      <right/>
      <top style="double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rgb="FF808080"/>
      </right>
      <top style="thin">
        <color theme="0" tint="-0.499984740745262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/>
      <diagonal/>
    </border>
    <border>
      <left style="thin">
        <color theme="1" tint="0.499984740745262"/>
      </left>
      <right style="double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/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08080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08080"/>
      </left>
      <right style="double">
        <color theme="0" tint="-0.499984740745262"/>
      </right>
      <top style="thin">
        <color theme="0" tint="-0.499984740745262"/>
      </top>
      <bottom style="double">
        <color rgb="FF808080"/>
      </bottom>
      <diagonal/>
    </border>
    <border>
      <left style="double">
        <color rgb="FF808080"/>
      </left>
      <right/>
      <top style="double">
        <color rgb="FF808080"/>
      </top>
      <bottom/>
      <diagonal/>
    </border>
    <border>
      <left/>
      <right/>
      <top style="double">
        <color rgb="FF808080"/>
      </top>
      <bottom/>
      <diagonal/>
    </border>
    <border>
      <left/>
      <right style="double">
        <color theme="0" tint="-0.499984740745262"/>
      </right>
      <top style="double">
        <color rgb="FF808080"/>
      </top>
      <bottom/>
      <diagonal/>
    </border>
    <border>
      <left/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</cellStyleXfs>
  <cellXfs count="214">
    <xf numFmtId="0" fontId="0" fillId="0" borderId="0" xfId="0"/>
    <xf numFmtId="49" fontId="3" fillId="4" borderId="2" xfId="2" applyNumberFormat="1" applyFont="1" applyFill="1" applyBorder="1" applyAlignment="1">
      <alignment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vertical="center" wrapText="1"/>
    </xf>
    <xf numFmtId="49" fontId="5" fillId="4" borderId="2" xfId="2" applyNumberFormat="1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justify" wrapText="1"/>
    </xf>
    <xf numFmtId="49" fontId="3" fillId="4" borderId="2" xfId="2" applyNumberFormat="1" applyFont="1" applyFill="1" applyBorder="1" applyAlignment="1">
      <alignment horizontal="left" vertical="center" wrapText="1"/>
    </xf>
    <xf numFmtId="49" fontId="3" fillId="4" borderId="5" xfId="2" applyNumberFormat="1" applyFont="1" applyFill="1" applyBorder="1" applyAlignment="1">
      <alignment horizontal="left" vertical="center" wrapText="1"/>
    </xf>
    <xf numFmtId="0" fontId="3" fillId="3" borderId="16" xfId="2" applyFont="1" applyFill="1" applyBorder="1" applyAlignment="1">
      <alignment horizontal="center" vertical="center" wrapText="1"/>
    </xf>
    <xf numFmtId="49" fontId="3" fillId="5" borderId="2" xfId="2" applyNumberFormat="1" applyFont="1" applyFill="1" applyBorder="1" applyAlignment="1">
      <alignment vertical="center" wrapText="1"/>
    </xf>
    <xf numFmtId="0" fontId="3" fillId="5" borderId="2" xfId="0" applyFont="1" applyFill="1" applyBorder="1"/>
    <xf numFmtId="49" fontId="3" fillId="5" borderId="5" xfId="2" applyNumberFormat="1" applyFont="1" applyFill="1" applyBorder="1" applyAlignment="1">
      <alignment vertical="center"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4" fillId="0" borderId="2" xfId="2" applyFont="1" applyBorder="1"/>
    <xf numFmtId="4" fontId="4" fillId="0" borderId="2" xfId="0" applyNumberFormat="1" applyFont="1" applyFill="1" applyBorder="1" applyAlignment="1" applyProtection="1">
      <alignment horizontal="left" vertical="center" wrapText="1"/>
    </xf>
    <xf numFmtId="4" fontId="4" fillId="0" borderId="2" xfId="0" applyNumberFormat="1" applyFont="1" applyFill="1" applyBorder="1" applyAlignment="1" applyProtection="1">
      <alignment horizontal="left" vertical="center"/>
    </xf>
    <xf numFmtId="4" fontId="3" fillId="5" borderId="2" xfId="0" applyNumberFormat="1" applyFont="1" applyFill="1" applyBorder="1" applyAlignment="1" applyProtection="1">
      <alignment horizontal="left" vertical="center" wrapText="1"/>
    </xf>
    <xf numFmtId="4" fontId="3" fillId="5" borderId="5" xfId="0" applyNumberFormat="1" applyFont="1" applyFill="1" applyBorder="1" applyAlignment="1" applyProtection="1">
      <alignment horizontal="left" vertical="center" wrapText="1"/>
    </xf>
    <xf numFmtId="0" fontId="8" fillId="5" borderId="21" xfId="0" applyFont="1" applyFill="1" applyBorder="1" applyAlignment="1">
      <alignment horizontal="center" vertical="top"/>
    </xf>
    <xf numFmtId="0" fontId="8" fillId="5" borderId="22" xfId="0" applyFont="1" applyFill="1" applyBorder="1" applyAlignment="1">
      <alignment horizontal="center" vertical="top"/>
    </xf>
    <xf numFmtId="0" fontId="4" fillId="0" borderId="5" xfId="2" applyFont="1" applyBorder="1"/>
    <xf numFmtId="0" fontId="8" fillId="5" borderId="24" xfId="0" applyFont="1" applyFill="1" applyBorder="1" applyAlignment="1">
      <alignment horizontal="center"/>
    </xf>
    <xf numFmtId="10" fontId="7" fillId="6" borderId="20" xfId="0" applyNumberFormat="1" applyFont="1" applyFill="1" applyBorder="1" applyAlignment="1">
      <alignment horizontal="center" vertical="center"/>
    </xf>
    <xf numFmtId="10" fontId="10" fillId="6" borderId="26" xfId="0" applyNumberFormat="1" applyFont="1" applyFill="1" applyBorder="1" applyAlignment="1">
      <alignment horizontal="center" vertical="center"/>
    </xf>
    <xf numFmtId="10" fontId="7" fillId="0" borderId="20" xfId="0" applyNumberFormat="1" applyFont="1" applyFill="1" applyBorder="1" applyAlignment="1">
      <alignment horizontal="center" vertical="center"/>
    </xf>
    <xf numFmtId="10" fontId="10" fillId="0" borderId="2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164" fontId="7" fillId="0" borderId="16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/>
    </xf>
    <xf numFmtId="164" fontId="11" fillId="0" borderId="36" xfId="0" applyNumberFormat="1" applyFont="1" applyBorder="1" applyAlignment="1">
      <alignment horizontal="center" vertical="center"/>
    </xf>
    <xf numFmtId="4" fontId="0" fillId="0" borderId="0" xfId="0" applyNumberFormat="1"/>
    <xf numFmtId="0" fontId="6" fillId="6" borderId="44" xfId="0" applyFont="1" applyFill="1" applyBorder="1" applyAlignment="1">
      <alignment horizontal="justify" vertical="center"/>
    </xf>
    <xf numFmtId="10" fontId="10" fillId="6" borderId="45" xfId="0" applyNumberFormat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justify" vertical="center"/>
    </xf>
    <xf numFmtId="10" fontId="10" fillId="0" borderId="45" xfId="0" applyNumberFormat="1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justify"/>
    </xf>
    <xf numFmtId="0" fontId="6" fillId="6" borderId="46" xfId="0" applyFont="1" applyFill="1" applyBorder="1" applyAlignment="1">
      <alignment horizontal="justify" vertical="center"/>
    </xf>
    <xf numFmtId="10" fontId="7" fillId="6" borderId="47" xfId="0" applyNumberFormat="1" applyFont="1" applyFill="1" applyBorder="1" applyAlignment="1">
      <alignment horizontal="center" vertical="center"/>
    </xf>
    <xf numFmtId="10" fontId="10" fillId="6" borderId="48" xfId="0" applyNumberFormat="1" applyFont="1" applyFill="1" applyBorder="1" applyAlignment="1">
      <alignment horizontal="center" vertical="center"/>
    </xf>
    <xf numFmtId="10" fontId="10" fillId="6" borderId="49" xfId="0" applyNumberFormat="1" applyFont="1" applyFill="1" applyBorder="1" applyAlignment="1">
      <alignment horizontal="center" vertical="center"/>
    </xf>
    <xf numFmtId="0" fontId="0" fillId="0" borderId="0" xfId="0" applyFill="1"/>
    <xf numFmtId="49" fontId="3" fillId="0" borderId="50" xfId="2" applyNumberFormat="1" applyFont="1" applyFill="1" applyBorder="1" applyAlignment="1">
      <alignment horizontal="left" vertical="center" wrapText="1"/>
    </xf>
    <xf numFmtId="0" fontId="13" fillId="0" borderId="0" xfId="0" applyFont="1"/>
    <xf numFmtId="4" fontId="13" fillId="0" borderId="0" xfId="0" applyNumberFormat="1" applyFont="1"/>
    <xf numFmtId="0" fontId="14" fillId="0" borderId="0" xfId="0" applyFont="1"/>
    <xf numFmtId="0" fontId="3" fillId="5" borderId="31" xfId="4" applyFont="1" applyFill="1" applyBorder="1" applyAlignment="1">
      <alignment horizontal="left" vertical="center" wrapText="1"/>
    </xf>
    <xf numFmtId="0" fontId="3" fillId="5" borderId="54" xfId="4" applyFont="1" applyFill="1" applyBorder="1" applyAlignment="1">
      <alignment horizontal="left" vertical="center" wrapText="1"/>
    </xf>
    <xf numFmtId="0" fontId="3" fillId="0" borderId="31" xfId="4" applyFont="1" applyFill="1" applyBorder="1" applyAlignment="1">
      <alignment vertical="center" wrapText="1"/>
    </xf>
    <xf numFmtId="0" fontId="4" fillId="0" borderId="31" xfId="4" applyFont="1" applyFill="1" applyBorder="1" applyAlignment="1">
      <alignment horizontal="left" vertical="center" wrapText="1" indent="4"/>
    </xf>
    <xf numFmtId="0" fontId="9" fillId="0" borderId="0" xfId="0" applyFont="1" applyFill="1" applyBorder="1" applyAlignment="1">
      <alignment horizontal="center" vertical="top"/>
    </xf>
    <xf numFmtId="0" fontId="3" fillId="5" borderId="31" xfId="4" applyFont="1" applyFill="1" applyBorder="1" applyAlignment="1">
      <alignment vertical="center" wrapText="1"/>
    </xf>
    <xf numFmtId="0" fontId="4" fillId="0" borderId="31" xfId="4" applyFont="1" applyFill="1" applyBorder="1" applyAlignment="1">
      <alignment horizontal="left" vertical="center" wrapText="1" indent="8"/>
    </xf>
    <xf numFmtId="0" fontId="4" fillId="0" borderId="34" xfId="4" applyFont="1" applyFill="1" applyBorder="1" applyAlignment="1">
      <alignment horizontal="left" vertical="center" wrapText="1" indent="8"/>
    </xf>
    <xf numFmtId="4" fontId="3" fillId="4" borderId="9" xfId="2" applyNumberFormat="1" applyFont="1" applyFill="1" applyBorder="1" applyAlignment="1">
      <alignment horizontal="right" vertical="center" wrapText="1"/>
    </xf>
    <xf numFmtId="4" fontId="4" fillId="0" borderId="4" xfId="2" applyNumberFormat="1" applyFont="1" applyFill="1" applyBorder="1" applyAlignment="1">
      <alignment horizontal="right" vertical="center" wrapText="1"/>
    </xf>
    <xf numFmtId="4" fontId="3" fillId="4" borderId="4" xfId="2" applyNumberFormat="1" applyFont="1" applyFill="1" applyBorder="1" applyAlignment="1">
      <alignment horizontal="right" vertical="center" wrapText="1"/>
    </xf>
    <xf numFmtId="4" fontId="3" fillId="4" borderId="7" xfId="2" applyNumberFormat="1" applyFont="1" applyFill="1" applyBorder="1" applyAlignment="1" applyProtection="1">
      <alignment horizontal="right" vertical="center" wrapText="1"/>
      <protection locked="0"/>
    </xf>
    <xf numFmtId="4" fontId="3" fillId="0" borderId="4" xfId="2" applyNumberFormat="1" applyFont="1" applyFill="1" applyBorder="1" applyAlignment="1">
      <alignment horizontal="right" vertical="center" wrapText="1"/>
    </xf>
    <xf numFmtId="4" fontId="3" fillId="7" borderId="4" xfId="2" applyNumberFormat="1" applyFont="1" applyFill="1" applyBorder="1" applyAlignment="1">
      <alignment horizontal="right" vertical="center" wrapText="1"/>
    </xf>
    <xf numFmtId="0" fontId="15" fillId="0" borderId="0" xfId="0" applyFont="1"/>
    <xf numFmtId="4" fontId="5" fillId="4" borderId="10" xfId="2" applyNumberFormat="1" applyFont="1" applyFill="1" applyBorder="1" applyAlignment="1">
      <alignment horizontal="right" vertical="center" wrapText="1"/>
    </xf>
    <xf numFmtId="4" fontId="5" fillId="4" borderId="4" xfId="2" applyNumberFormat="1" applyFont="1" applyFill="1" applyBorder="1" applyAlignment="1">
      <alignment horizontal="right" vertical="center" wrapText="1"/>
    </xf>
    <xf numFmtId="4" fontId="4" fillId="0" borderId="3" xfId="2" applyNumberFormat="1" applyFont="1" applyFill="1" applyBorder="1" applyAlignment="1">
      <alignment horizontal="right" vertical="center" wrapText="1"/>
    </xf>
    <xf numFmtId="4" fontId="4" fillId="0" borderId="10" xfId="2" applyNumberFormat="1" applyFont="1" applyBorder="1" applyAlignment="1">
      <alignment horizontal="right"/>
    </xf>
    <xf numFmtId="4" fontId="5" fillId="4" borderId="6" xfId="2" applyNumberFormat="1" applyFont="1" applyFill="1" applyBorder="1" applyAlignment="1">
      <alignment horizontal="right" vertical="center" wrapText="1"/>
    </xf>
    <xf numFmtId="4" fontId="5" fillId="4" borderId="7" xfId="2" applyNumberFormat="1" applyFont="1" applyFill="1" applyBorder="1" applyAlignment="1">
      <alignment horizontal="right" vertical="center" wrapText="1"/>
    </xf>
    <xf numFmtId="4" fontId="3" fillId="5" borderId="4" xfId="2" applyNumberFormat="1" applyFont="1" applyFill="1" applyBorder="1" applyAlignment="1">
      <alignment horizontal="right" vertical="center" wrapText="1"/>
    </xf>
    <xf numFmtId="4" fontId="3" fillId="5" borderId="7" xfId="2" applyNumberFormat="1" applyFont="1" applyFill="1" applyBorder="1" applyAlignment="1">
      <alignment horizontal="right" vertical="center" wrapText="1"/>
    </xf>
    <xf numFmtId="4" fontId="3" fillId="5" borderId="4" xfId="2" applyNumberFormat="1" applyFont="1" applyFill="1" applyBorder="1" applyAlignment="1">
      <alignment vertical="center" wrapText="1"/>
    </xf>
    <xf numFmtId="4" fontId="4" fillId="0" borderId="4" xfId="2" applyNumberFormat="1" applyFont="1" applyFill="1" applyBorder="1" applyAlignment="1">
      <alignment vertical="center" wrapText="1"/>
    </xf>
    <xf numFmtId="4" fontId="4" fillId="0" borderId="7" xfId="2" applyNumberFormat="1" applyFont="1" applyBorder="1"/>
    <xf numFmtId="4" fontId="15" fillId="0" borderId="0" xfId="0" applyNumberFormat="1" applyFont="1"/>
    <xf numFmtId="4" fontId="3" fillId="4" borderId="8" xfId="2" applyNumberFormat="1" applyFont="1" applyFill="1" applyBorder="1" applyAlignment="1">
      <alignment horizontal="right" vertical="center" wrapText="1"/>
    </xf>
    <xf numFmtId="4" fontId="3" fillId="4" borderId="3" xfId="2" applyNumberFormat="1" applyFont="1" applyFill="1" applyBorder="1" applyAlignment="1">
      <alignment horizontal="right" vertical="center" wrapText="1"/>
    </xf>
    <xf numFmtId="4" fontId="3" fillId="0" borderId="3" xfId="2" applyNumberFormat="1" applyFont="1" applyFill="1" applyBorder="1" applyAlignment="1">
      <alignment horizontal="right" vertical="center" wrapText="1"/>
    </xf>
    <xf numFmtId="4" fontId="3" fillId="4" borderId="6" xfId="2" applyNumberFormat="1" applyFont="1" applyFill="1" applyBorder="1" applyAlignment="1" applyProtection="1">
      <alignment horizontal="right" vertical="center" wrapText="1"/>
      <protection locked="0"/>
    </xf>
    <xf numFmtId="4" fontId="4" fillId="0" borderId="10" xfId="2" applyNumberFormat="1" applyFont="1" applyFill="1" applyBorder="1" applyAlignment="1">
      <alignment horizontal="right" vertical="center" wrapText="1"/>
    </xf>
    <xf numFmtId="4" fontId="3" fillId="7" borderId="3" xfId="2" applyNumberFormat="1" applyFont="1" applyFill="1" applyBorder="1" applyAlignment="1">
      <alignment horizontal="right" vertical="center" wrapText="1"/>
    </xf>
    <xf numFmtId="4" fontId="3" fillId="5" borderId="3" xfId="2" applyNumberFormat="1" applyFont="1" applyFill="1" applyBorder="1" applyAlignment="1">
      <alignment horizontal="right" vertical="center" wrapText="1"/>
    </xf>
    <xf numFmtId="4" fontId="3" fillId="5" borderId="6" xfId="2" applyNumberFormat="1" applyFont="1" applyFill="1" applyBorder="1" applyAlignment="1">
      <alignment horizontal="right" vertical="center" wrapText="1"/>
    </xf>
    <xf numFmtId="4" fontId="3" fillId="5" borderId="3" xfId="2" applyNumberFormat="1" applyFont="1" applyFill="1" applyBorder="1" applyAlignment="1">
      <alignment vertical="center" wrapText="1"/>
    </xf>
    <xf numFmtId="4" fontId="4" fillId="0" borderId="3" xfId="2" applyNumberFormat="1" applyFont="1" applyFill="1" applyBorder="1" applyAlignment="1">
      <alignment vertical="center" wrapText="1"/>
    </xf>
    <xf numFmtId="4" fontId="4" fillId="0" borderId="6" xfId="2" applyNumberFormat="1" applyFont="1" applyBorder="1"/>
    <xf numFmtId="4" fontId="3" fillId="5" borderId="3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4" fontId="3" fillId="5" borderId="6" xfId="0" applyNumberFormat="1" applyFont="1" applyFill="1" applyBorder="1" applyAlignment="1" applyProtection="1">
      <alignment horizontal="right" vertical="center"/>
    </xf>
    <xf numFmtId="4" fontId="4" fillId="0" borderId="4" xfId="0" applyNumberFormat="1" applyFont="1" applyFill="1" applyBorder="1" applyAlignment="1" applyProtection="1">
      <alignment horizontal="right" vertical="center"/>
    </xf>
    <xf numFmtId="4" fontId="3" fillId="5" borderId="4" xfId="0" applyNumberFormat="1" applyFont="1" applyFill="1" applyBorder="1" applyAlignment="1" applyProtection="1">
      <alignment horizontal="right" vertical="center"/>
    </xf>
    <xf numFmtId="4" fontId="3" fillId="5" borderId="7" xfId="0" applyNumberFormat="1" applyFont="1" applyFill="1" applyBorder="1" applyAlignment="1" applyProtection="1">
      <alignment horizontal="right" vertical="center"/>
    </xf>
    <xf numFmtId="0" fontId="4" fillId="5" borderId="33" xfId="0" applyFont="1" applyFill="1" applyBorder="1"/>
    <xf numFmtId="43" fontId="9" fillId="0" borderId="0" xfId="0" applyNumberFormat="1" applyFont="1" applyFill="1" applyBorder="1" applyAlignment="1">
      <alignment horizontal="center"/>
    </xf>
    <xf numFmtId="43" fontId="0" fillId="0" borderId="0" xfId="0" applyNumberFormat="1"/>
    <xf numFmtId="0" fontId="3" fillId="2" borderId="56" xfId="2" applyFont="1" applyFill="1" applyBorder="1" applyAlignment="1">
      <alignment horizontal="center" vertical="center" wrapText="1"/>
    </xf>
    <xf numFmtId="0" fontId="3" fillId="2" borderId="57" xfId="2" applyFont="1" applyFill="1" applyBorder="1" applyAlignment="1">
      <alignment horizontal="center" vertical="center" wrapText="1"/>
    </xf>
    <xf numFmtId="0" fontId="12" fillId="5" borderId="58" xfId="0" applyFont="1" applyFill="1" applyBorder="1"/>
    <xf numFmtId="0" fontId="0" fillId="8" borderId="59" xfId="0" applyFill="1" applyBorder="1"/>
    <xf numFmtId="4" fontId="4" fillId="0" borderId="60" xfId="3" applyNumberFormat="1" applyFont="1" applyBorder="1" applyAlignment="1">
      <alignment horizontal="center" vertical="center"/>
    </xf>
    <xf numFmtId="4" fontId="0" fillId="8" borderId="61" xfId="0" applyNumberFormat="1" applyFill="1" applyBorder="1"/>
    <xf numFmtId="43" fontId="3" fillId="0" borderId="62" xfId="3" applyFont="1" applyFill="1" applyBorder="1" applyAlignment="1">
      <alignment vertical="center" wrapText="1"/>
    </xf>
    <xf numFmtId="43" fontId="4" fillId="0" borderId="60" xfId="3" applyFont="1" applyFill="1" applyBorder="1" applyAlignment="1">
      <alignment horizontal="right" vertical="center"/>
    </xf>
    <xf numFmtId="43" fontId="4" fillId="0" borderId="60" xfId="3" applyFont="1" applyBorder="1" applyAlignment="1">
      <alignment horizontal="right" vertical="center"/>
    </xf>
    <xf numFmtId="43" fontId="3" fillId="5" borderId="62" xfId="3" applyFont="1" applyFill="1" applyBorder="1" applyAlignment="1">
      <alignment vertical="center" wrapText="1"/>
    </xf>
    <xf numFmtId="43" fontId="4" fillId="5" borderId="60" xfId="3" applyFont="1" applyFill="1" applyBorder="1" applyAlignment="1">
      <alignment vertical="center"/>
    </xf>
    <xf numFmtId="43" fontId="4" fillId="0" borderId="60" xfId="3" applyFont="1" applyBorder="1" applyAlignment="1">
      <alignment vertical="center"/>
    </xf>
    <xf numFmtId="43" fontId="4" fillId="0" borderId="60" xfId="3" applyFont="1" applyBorder="1"/>
    <xf numFmtId="43" fontId="4" fillId="5" borderId="60" xfId="3" applyFont="1" applyFill="1" applyBorder="1"/>
    <xf numFmtId="43" fontId="3" fillId="5" borderId="62" xfId="3" applyFont="1" applyFill="1" applyBorder="1" applyAlignment="1">
      <alignment horizontal="left" vertical="center" wrapText="1"/>
    </xf>
    <xf numFmtId="43" fontId="3" fillId="5" borderId="60" xfId="3" applyFont="1" applyFill="1" applyBorder="1" applyAlignment="1">
      <alignment vertical="center"/>
    </xf>
    <xf numFmtId="43" fontId="4" fillId="0" borderId="63" xfId="3" applyFont="1" applyBorder="1" applyAlignment="1">
      <alignment vertical="center"/>
    </xf>
    <xf numFmtId="43" fontId="15" fillId="0" borderId="0" xfId="0" applyNumberFormat="1" applyFont="1"/>
    <xf numFmtId="4" fontId="7" fillId="0" borderId="19" xfId="0" applyNumberFormat="1" applyFont="1" applyFill="1" applyBorder="1" applyAlignment="1">
      <alignment horizontal="right" vertical="center"/>
    </xf>
    <xf numFmtId="4" fontId="7" fillId="6" borderId="19" xfId="0" applyNumberFormat="1" applyFont="1" applyFill="1" applyBorder="1" applyAlignment="1">
      <alignment horizontal="right" vertical="center"/>
    </xf>
    <xf numFmtId="4" fontId="7" fillId="0" borderId="23" xfId="0" applyNumberFormat="1" applyFont="1" applyFill="1" applyBorder="1" applyAlignment="1">
      <alignment horizontal="right" vertical="center"/>
    </xf>
    <xf numFmtId="4" fontId="7" fillId="6" borderId="23" xfId="0" applyNumberFormat="1" applyFont="1" applyFill="1" applyBorder="1" applyAlignment="1">
      <alignment horizontal="right" vertical="center"/>
    </xf>
    <xf numFmtId="0" fontId="6" fillId="5" borderId="29" xfId="0" applyFont="1" applyFill="1" applyBorder="1" applyAlignment="1">
      <alignment horizontal="center" vertical="center"/>
    </xf>
    <xf numFmtId="0" fontId="6" fillId="9" borderId="30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9" borderId="32" xfId="0" applyFont="1" applyFill="1" applyBorder="1" applyAlignment="1">
      <alignment horizontal="center" vertical="center"/>
    </xf>
    <xf numFmtId="0" fontId="8" fillId="5" borderId="64" xfId="0" applyFont="1" applyFill="1" applyBorder="1" applyAlignment="1">
      <alignment horizontal="center"/>
    </xf>
    <xf numFmtId="0" fontId="8" fillId="5" borderId="39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left" vertical="center"/>
    </xf>
    <xf numFmtId="4" fontId="7" fillId="0" borderId="66" xfId="0" applyNumberFormat="1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left" vertical="center"/>
    </xf>
    <xf numFmtId="4" fontId="7" fillId="6" borderId="66" xfId="0" applyNumberFormat="1" applyFont="1" applyFill="1" applyBorder="1" applyAlignment="1">
      <alignment horizontal="center" vertical="center"/>
    </xf>
    <xf numFmtId="0" fontId="6" fillId="6" borderId="46" xfId="0" applyFont="1" applyFill="1" applyBorder="1" applyAlignment="1">
      <alignment horizontal="left" vertical="center"/>
    </xf>
    <xf numFmtId="0" fontId="8" fillId="5" borderId="70" xfId="0" applyFont="1" applyFill="1" applyBorder="1" applyAlignment="1">
      <alignment horizontal="center"/>
    </xf>
    <xf numFmtId="2" fontId="7" fillId="0" borderId="66" xfId="1" applyNumberFormat="1" applyFont="1" applyFill="1" applyBorder="1" applyAlignment="1">
      <alignment horizontal="center" vertical="center"/>
    </xf>
    <xf numFmtId="2" fontId="7" fillId="6" borderId="66" xfId="1" applyNumberFormat="1" applyFont="1" applyFill="1" applyBorder="1" applyAlignment="1">
      <alignment horizontal="center" vertical="center"/>
    </xf>
    <xf numFmtId="4" fontId="7" fillId="6" borderId="66" xfId="0" applyNumberFormat="1" applyFont="1" applyFill="1" applyBorder="1" applyAlignment="1">
      <alignment horizontal="center" vertical="center" wrapText="1"/>
    </xf>
    <xf numFmtId="4" fontId="7" fillId="7" borderId="66" xfId="0" applyNumberFormat="1" applyFont="1" applyFill="1" applyBorder="1" applyAlignment="1">
      <alignment horizontal="center" vertical="center" wrapText="1"/>
    </xf>
    <xf numFmtId="4" fontId="7" fillId="0" borderId="66" xfId="0" applyNumberFormat="1" applyFont="1" applyFill="1" applyBorder="1" applyAlignment="1">
      <alignment horizontal="center" vertical="center" wrapText="1"/>
    </xf>
    <xf numFmtId="4" fontId="7" fillId="6" borderId="68" xfId="0" applyNumberFormat="1" applyFont="1" applyFill="1" applyBorder="1" applyAlignment="1">
      <alignment horizontal="right" vertical="center"/>
    </xf>
    <xf numFmtId="4" fontId="7" fillId="6" borderId="69" xfId="0" applyNumberFormat="1" applyFont="1" applyFill="1" applyBorder="1" applyAlignment="1">
      <alignment horizontal="center" vertical="center" wrapText="1"/>
    </xf>
    <xf numFmtId="4" fontId="7" fillId="6" borderId="71" xfId="0" applyNumberFormat="1" applyFont="1" applyFill="1" applyBorder="1" applyAlignment="1">
      <alignment horizontal="right" vertical="center"/>
    </xf>
    <xf numFmtId="0" fontId="8" fillId="5" borderId="38" xfId="0" applyFont="1" applyFill="1" applyBorder="1" applyAlignment="1">
      <alignment horizontal="center"/>
    </xf>
    <xf numFmtId="0" fontId="8" fillId="10" borderId="40" xfId="0" applyFont="1" applyFill="1" applyBorder="1" applyAlignment="1">
      <alignment horizontal="center"/>
    </xf>
    <xf numFmtId="0" fontId="8" fillId="10" borderId="41" xfId="0" applyFont="1" applyFill="1" applyBorder="1" applyAlignment="1">
      <alignment horizontal="center"/>
    </xf>
    <xf numFmtId="0" fontId="6" fillId="5" borderId="25" xfId="0" applyFont="1" applyFill="1" applyBorder="1" applyAlignment="1">
      <alignment horizontal="center" vertical="top"/>
    </xf>
    <xf numFmtId="0" fontId="6" fillId="5" borderId="22" xfId="0" applyFont="1" applyFill="1" applyBorder="1" applyAlignment="1">
      <alignment horizontal="center" vertical="top"/>
    </xf>
    <xf numFmtId="0" fontId="6" fillId="10" borderId="25" xfId="0" applyFont="1" applyFill="1" applyBorder="1" applyAlignment="1">
      <alignment horizontal="center" vertical="top"/>
    </xf>
    <xf numFmtId="0" fontId="6" fillId="10" borderId="43" xfId="0" applyFont="1" applyFill="1" applyBorder="1" applyAlignment="1">
      <alignment horizontal="center" vertical="top"/>
    </xf>
    <xf numFmtId="0" fontId="3" fillId="0" borderId="12" xfId="2" applyFont="1" applyFill="1" applyBorder="1" applyAlignment="1">
      <alignment horizontal="center" vertical="center" wrapText="1"/>
    </xf>
    <xf numFmtId="0" fontId="3" fillId="9" borderId="16" xfId="2" applyFont="1" applyFill="1" applyBorder="1" applyAlignment="1">
      <alignment horizontal="center" vertical="center" wrapText="1"/>
    </xf>
    <xf numFmtId="0" fontId="3" fillId="9" borderId="1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9" borderId="54" xfId="2" applyFont="1" applyFill="1" applyBorder="1" applyAlignment="1">
      <alignment horizontal="center" vertical="center" wrapText="1"/>
    </xf>
    <xf numFmtId="4" fontId="5" fillId="4" borderId="72" xfId="2" applyNumberFormat="1" applyFont="1" applyFill="1" applyBorder="1" applyAlignment="1">
      <alignment horizontal="right" vertical="center" wrapText="1"/>
    </xf>
    <xf numFmtId="0" fontId="3" fillId="3" borderId="33" xfId="2" applyFont="1" applyFill="1" applyBorder="1" applyAlignment="1">
      <alignment horizontal="center" vertical="center" wrapText="1"/>
    </xf>
    <xf numFmtId="4" fontId="5" fillId="4" borderId="73" xfId="2" applyNumberFormat="1" applyFont="1" applyFill="1" applyBorder="1" applyAlignment="1">
      <alignment horizontal="right" vertical="center" wrapText="1"/>
    </xf>
    <xf numFmtId="4" fontId="4" fillId="0" borderId="74" xfId="2" applyNumberFormat="1" applyFont="1" applyFill="1" applyBorder="1" applyAlignment="1">
      <alignment horizontal="right" vertical="center" wrapText="1"/>
    </xf>
    <xf numFmtId="4" fontId="4" fillId="0" borderId="73" xfId="2" applyNumberFormat="1" applyFont="1" applyBorder="1" applyAlignment="1">
      <alignment horizontal="right"/>
    </xf>
    <xf numFmtId="4" fontId="5" fillId="4" borderId="75" xfId="2" applyNumberFormat="1" applyFont="1" applyFill="1" applyBorder="1" applyAlignment="1">
      <alignment horizontal="right" vertical="center" wrapText="1"/>
    </xf>
    <xf numFmtId="0" fontId="3" fillId="4" borderId="5" xfId="2" applyFont="1" applyFill="1" applyBorder="1"/>
    <xf numFmtId="0" fontId="3" fillId="9" borderId="1" xfId="2" applyFont="1" applyFill="1" applyBorder="1" applyAlignment="1">
      <alignment horizontal="center" vertical="center" wrapText="1"/>
    </xf>
    <xf numFmtId="0" fontId="3" fillId="9" borderId="8" xfId="2" applyFont="1" applyFill="1" applyBorder="1" applyAlignment="1">
      <alignment horizontal="center" vertical="center" wrapText="1"/>
    </xf>
    <xf numFmtId="0" fontId="3" fillId="9" borderId="9" xfId="2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49" fontId="3" fillId="9" borderId="8" xfId="2" applyNumberFormat="1" applyFont="1" applyFill="1" applyBorder="1" applyAlignment="1">
      <alignment horizontal="center" vertical="center" wrapText="1"/>
    </xf>
    <xf numFmtId="49" fontId="3" fillId="9" borderId="9" xfId="2" applyNumberFormat="1" applyFont="1" applyFill="1" applyBorder="1" applyAlignment="1">
      <alignment horizontal="center" vertical="center" wrapText="1"/>
    </xf>
    <xf numFmtId="2" fontId="3" fillId="0" borderId="54" xfId="3" applyNumberFormat="1" applyFont="1" applyFill="1" applyBorder="1" applyAlignment="1">
      <alignment vertical="center" wrapText="1"/>
    </xf>
    <xf numFmtId="2" fontId="4" fillId="0" borderId="33" xfId="3" applyNumberFormat="1" applyFont="1" applyBorder="1" applyAlignment="1">
      <alignment vertical="center"/>
    </xf>
    <xf numFmtId="2" fontId="4" fillId="0" borderId="54" xfId="3" applyNumberFormat="1" applyFont="1" applyFill="1" applyBorder="1" applyAlignment="1">
      <alignment vertical="center" wrapText="1"/>
    </xf>
    <xf numFmtId="2" fontId="4" fillId="0" borderId="33" xfId="3" applyNumberFormat="1" applyFont="1" applyFill="1" applyBorder="1" applyAlignment="1">
      <alignment vertical="center"/>
    </xf>
    <xf numFmtId="2" fontId="3" fillId="5" borderId="54" xfId="3" applyNumberFormat="1" applyFont="1" applyFill="1" applyBorder="1" applyAlignment="1">
      <alignment vertical="center" wrapText="1"/>
    </xf>
    <xf numFmtId="2" fontId="4" fillId="5" borderId="33" xfId="3" applyNumberFormat="1" applyFont="1" applyFill="1" applyBorder="1" applyAlignment="1">
      <alignment vertical="center"/>
    </xf>
    <xf numFmtId="2" fontId="4" fillId="0" borderId="33" xfId="3" applyNumberFormat="1" applyFont="1" applyBorder="1" applyAlignment="1"/>
    <xf numFmtId="2" fontId="4" fillId="5" borderId="33" xfId="3" applyNumberFormat="1" applyFont="1" applyFill="1" applyBorder="1" applyAlignment="1"/>
    <xf numFmtId="2" fontId="3" fillId="5" borderId="33" xfId="3" applyNumberFormat="1" applyFont="1" applyFill="1" applyBorder="1" applyAlignment="1">
      <alignment vertical="center"/>
    </xf>
    <xf numFmtId="2" fontId="4" fillId="0" borderId="55" xfId="3" applyNumberFormat="1" applyFont="1" applyFill="1" applyBorder="1" applyAlignment="1">
      <alignment vertical="center" wrapText="1"/>
    </xf>
    <xf numFmtId="2" fontId="4" fillId="0" borderId="36" xfId="3" applyNumberFormat="1" applyFont="1" applyBorder="1" applyAlignment="1">
      <alignment vertical="center"/>
    </xf>
    <xf numFmtId="0" fontId="4" fillId="5" borderId="54" xfId="0" applyFont="1" applyFill="1" applyBorder="1"/>
    <xf numFmtId="2" fontId="4" fillId="0" borderId="54" xfId="3" applyNumberFormat="1" applyFont="1" applyBorder="1" applyAlignment="1">
      <alignment vertical="center"/>
    </xf>
    <xf numFmtId="2" fontId="4" fillId="5" borderId="54" xfId="3" applyNumberFormat="1" applyFont="1" applyFill="1" applyBorder="1" applyAlignment="1">
      <alignment vertical="center"/>
    </xf>
    <xf numFmtId="2" fontId="4" fillId="0" borderId="54" xfId="3" applyNumberFormat="1" applyFont="1" applyBorder="1" applyAlignment="1"/>
    <xf numFmtId="2" fontId="4" fillId="5" borderId="54" xfId="3" applyNumberFormat="1" applyFont="1" applyFill="1" applyBorder="1" applyAlignment="1"/>
    <xf numFmtId="2" fontId="3" fillId="5" borderId="73" xfId="3" applyNumberFormat="1" applyFont="1" applyFill="1" applyBorder="1" applyAlignment="1">
      <alignment vertical="center"/>
    </xf>
    <xf numFmtId="2" fontId="3" fillId="5" borderId="54" xfId="3" applyNumberFormat="1" applyFont="1" applyFill="1" applyBorder="1" applyAlignment="1">
      <alignment vertical="center"/>
    </xf>
    <xf numFmtId="2" fontId="4" fillId="0" borderId="55" xfId="3" applyNumberFormat="1" applyFont="1" applyBorder="1" applyAlignment="1">
      <alignment vertical="center"/>
    </xf>
    <xf numFmtId="0" fontId="3" fillId="5" borderId="73" xfId="4" applyFont="1" applyFill="1" applyBorder="1" applyAlignment="1">
      <alignment horizontal="left" vertical="center" wrapText="1"/>
    </xf>
    <xf numFmtId="2" fontId="3" fillId="0" borderId="73" xfId="3" applyNumberFormat="1" applyFont="1" applyFill="1" applyBorder="1" applyAlignment="1">
      <alignment vertical="center" wrapText="1"/>
    </xf>
    <xf numFmtId="2" fontId="4" fillId="0" borderId="73" xfId="3" applyNumberFormat="1" applyFont="1" applyFill="1" applyBorder="1" applyAlignment="1">
      <alignment vertical="center" wrapText="1"/>
    </xf>
    <xf numFmtId="2" fontId="3" fillId="5" borderId="73" xfId="3" applyNumberFormat="1" applyFont="1" applyFill="1" applyBorder="1" applyAlignment="1">
      <alignment vertical="center" wrapText="1"/>
    </xf>
    <xf numFmtId="2" fontId="4" fillId="0" borderId="79" xfId="3" applyNumberFormat="1" applyFont="1" applyFill="1" applyBorder="1" applyAlignment="1">
      <alignment vertical="center" wrapText="1"/>
    </xf>
    <xf numFmtId="0" fontId="14" fillId="0" borderId="28" xfId="0" applyFont="1" applyFill="1" applyBorder="1"/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14" fillId="0" borderId="76" xfId="0" applyFont="1" applyBorder="1" applyAlignment="1">
      <alignment horizontal="center"/>
    </xf>
    <xf numFmtId="0" fontId="14" fillId="0" borderId="77" xfId="0" applyFont="1" applyBorder="1" applyAlignment="1">
      <alignment horizontal="center"/>
    </xf>
    <xf numFmtId="0" fontId="14" fillId="0" borderId="78" xfId="0" applyFont="1" applyBorder="1" applyAlignment="1">
      <alignment horizontal="center"/>
    </xf>
    <xf numFmtId="0" fontId="6" fillId="0" borderId="37" xfId="0" applyFont="1" applyFill="1" applyBorder="1" applyAlignment="1">
      <alignment horizontal="justify"/>
    </xf>
    <xf numFmtId="0" fontId="6" fillId="0" borderId="42" xfId="0" applyFont="1" applyFill="1" applyBorder="1" applyAlignment="1">
      <alignment horizontal="justify"/>
    </xf>
    <xf numFmtId="0" fontId="8" fillId="9" borderId="65" xfId="0" applyFont="1" applyFill="1" applyBorder="1" applyAlignment="1">
      <alignment horizontal="center" vertical="center" wrapText="1"/>
    </xf>
    <xf numFmtId="0" fontId="8" fillId="9" borderId="66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left"/>
    </xf>
    <xf numFmtId="0" fontId="6" fillId="0" borderId="42" xfId="0" applyFont="1" applyFill="1" applyBorder="1" applyAlignment="1">
      <alignment horizontal="left"/>
    </xf>
    <xf numFmtId="0" fontId="6" fillId="0" borderId="37" xfId="0" applyFont="1" applyFill="1" applyBorder="1" applyAlignment="1">
      <alignment horizontal="justify" vertical="top"/>
    </xf>
    <xf numFmtId="0" fontId="6" fillId="0" borderId="42" xfId="0" applyFont="1" applyFill="1" applyBorder="1" applyAlignment="1">
      <alignment horizontal="justify" vertical="top"/>
    </xf>
    <xf numFmtId="0" fontId="6" fillId="0" borderId="28" xfId="0" applyFont="1" applyFill="1" applyBorder="1" applyAlignment="1">
      <alignment horizontal="center" vertical="top"/>
    </xf>
    <xf numFmtId="0" fontId="6" fillId="0" borderId="31" xfId="0" applyFont="1" applyFill="1" applyBorder="1" applyAlignment="1">
      <alignment horizontal="center" vertical="top"/>
    </xf>
  </cellXfs>
  <cellStyles count="5">
    <cellStyle name="Dziesiętny" xfId="3" builtinId="3"/>
    <cellStyle name="Normalny" xfId="0" builtinId="0"/>
    <cellStyle name="Normalny_bilans_przekształceń" xfId="2"/>
    <cellStyle name="Normalny_Skonsolidowane sprawozdanie finansowe" xfId="4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</xdr:row>
      <xdr:rowOff>0</xdr:rowOff>
    </xdr:from>
    <xdr:to>
      <xdr:col>14</xdr:col>
      <xdr:colOff>75009</xdr:colOff>
      <xdr:row>38</xdr:row>
      <xdr:rowOff>24606</xdr:rowOff>
    </xdr:to>
    <xdr:sp macro="" textlink="">
      <xdr:nvSpPr>
        <xdr:cNvPr id="2" name="pole tekstowe 1"/>
        <xdr:cNvSpPr txBox="1"/>
      </xdr:nvSpPr>
      <xdr:spPr>
        <a:xfrm>
          <a:off x="7124700" y="190500"/>
          <a:ext cx="4332684" cy="70731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/>
            <a:t>Objaśnienia:</a:t>
          </a:r>
        </a:p>
        <a:p>
          <a:endParaRPr lang="pl-PL" sz="1100"/>
        </a:p>
        <a:p>
          <a:r>
            <a:rPr lang="pl-PL" sz="1100" b="1"/>
            <a:t>1.</a:t>
          </a:r>
          <a:r>
            <a:rPr lang="pl-PL" sz="1100" b="1" baseline="0"/>
            <a:t> Wskaźnik rentowności operacyjnej</a:t>
          </a:r>
        </a:p>
        <a:p>
          <a:r>
            <a:rPr lang="pl-PL" sz="1100" u="sng" baseline="0"/>
            <a:t>Formuła:</a:t>
          </a:r>
          <a:r>
            <a:rPr lang="pl-PL" sz="1100" baseline="0"/>
            <a:t> wynik na działalności operacyjnej / przychody ze sprzedaży</a:t>
          </a:r>
        </a:p>
        <a:p>
          <a:r>
            <a:rPr lang="pl-PL" sz="1100" u="sng" baseline="0"/>
            <a:t>Opis: </a:t>
          </a:r>
          <a:r>
            <a:rPr lang="pl-PL"/>
            <a:t>określa, ile zysku netto (po opodatkowaniu) przypada na 1 złoty przychodów firmy</a:t>
          </a:r>
          <a:endParaRPr lang="pl-PL" sz="1100" baseline="0"/>
        </a:p>
        <a:p>
          <a:endParaRPr lang="pl-PL" sz="1100" baseline="0"/>
        </a:p>
        <a:p>
          <a:r>
            <a:rPr lang="pl-PL" sz="1100" b="1" baseline="0"/>
            <a:t>2. Wskaźnik rentowności EBITDA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(wynika na działalności operacyjnej+amortyzacja) / przychody ze sprzedaży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 </a:t>
          </a:r>
          <a:r>
            <a:rPr lang="pl-PL"/>
            <a:t>mierzy efektywność konwersji przychodów na zysk z działalności ciągłej przed odsetkami od zaciągniętych kredytów, podatkami, deprecjacją i amortyzacją oraz przed pozycjami wyjątkowymi. </a:t>
          </a:r>
        </a:p>
        <a:p>
          <a:endParaRPr lang="pl-PL" sz="1100"/>
        </a:p>
        <a:p>
          <a:r>
            <a:rPr lang="pl-PL" sz="1100" b="1"/>
            <a:t>3. Wskaźnik</a:t>
          </a:r>
          <a:r>
            <a:rPr lang="pl-PL" sz="1100" b="1" baseline="0"/>
            <a:t> rentowności netto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Wynik netto / Przychody ze sprzedaży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</a:t>
          </a:r>
          <a:r>
            <a:rPr lang="pl-PL"/>
            <a:t>informuje inwestorów ile procent przychodów ze sprzedaży stanowi zysk netto</a:t>
          </a:r>
        </a:p>
        <a:p>
          <a:endParaRPr lang="pl-PL" sz="1100"/>
        </a:p>
        <a:p>
          <a:r>
            <a:rPr lang="pl-PL" sz="1100" b="1"/>
            <a:t>4. Wskaśnik rentowności kapitału własnego</a:t>
          </a:r>
          <a:r>
            <a:rPr lang="pl-PL" sz="1100" b="1" baseline="0"/>
            <a:t> (ROE)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Wynik netto / Kapitał własny, gdzie: Kapitał własny = Aktywa ogółem - Zobowiązania (krótko i długoterminowe)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b="0"/>
            <a:t>określa stopę zyskowności zainwestowanych w firmie kapitałów własnych</a:t>
          </a:r>
        </a:p>
        <a:p>
          <a:endParaRPr lang="pl-PL" sz="1100"/>
        </a:p>
        <a:p>
          <a:r>
            <a:rPr lang="pl-PL" sz="1100" b="1"/>
            <a:t>5. Wskaźnik</a:t>
          </a:r>
          <a:r>
            <a:rPr lang="pl-PL" sz="1100" b="1" baseline="0"/>
            <a:t> rentowności majątku (ROA)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Wynik netto / aktywa  ogółem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</a:t>
          </a:r>
          <a:r>
            <a:rPr lang="pl-PL" b="0"/>
            <a:t>informuje o tym jaka jest rentowność wszystkich aktywów firmy w stosunku do wypracowanych przez nią zysków,</a:t>
          </a:r>
          <a:r>
            <a:rPr lang="pl-PL" b="0" baseline="0"/>
            <a:t> </a:t>
          </a:r>
          <a:r>
            <a:rPr lang="pl-PL" b="0"/>
            <a:t>czy innymi</a:t>
          </a:r>
          <a:r>
            <a:rPr lang="pl-PL" b="0" baseline="0"/>
            <a:t> słowy ile zysku netto  przynosi każda złotówka zaangażowana w finansowanie majątku</a:t>
          </a:r>
          <a:endParaRPr lang="pl-PL" b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/>
        </a:p>
        <a:p>
          <a:r>
            <a:rPr lang="pl-PL" sz="1100" b="1"/>
            <a:t>6. Wskaźnik ogólnej płynności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aktywa obrotowe / zobowiązania krótkoterminowe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/>
            <a:t>informuje o zdolności przedsiębiorstwa do regulowania zobowiązań w oparciu o wszystkie aktywa obrotowe</a:t>
          </a:r>
        </a:p>
        <a:p>
          <a:endParaRPr lang="pl-PL" sz="1100"/>
        </a:p>
        <a:p>
          <a:r>
            <a:rPr lang="pl-PL" sz="1100" b="1"/>
            <a:t>7. Wskaźnik ogólnego</a:t>
          </a:r>
          <a:r>
            <a:rPr lang="pl-PL" sz="1100" b="1" baseline="0"/>
            <a:t> zadłużenia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zobowiązania ogółem / aktywa rezem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b="0"/>
            <a:t>mówi o tym jaki udział w finansowaniu majątku firmy mają zobowiązania i dług</a:t>
          </a:r>
        </a:p>
        <a:p>
          <a:endParaRPr lang="pl-PL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ka/AppData/Local/Temp/tabele-3kw.SA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podstawowe"/>
      <sheetName val="Arkusz1"/>
      <sheetName val="wybrane dane finansowe"/>
      <sheetName val="lista standardów"/>
      <sheetName val="RZiS"/>
      <sheetName val="Skr. spr. z cał. dochodów"/>
      <sheetName val="Aktywa"/>
      <sheetName val="Pasywa"/>
      <sheetName val="ZZwK"/>
      <sheetName val="RPP"/>
      <sheetName val="dodatkowe tabelki"/>
      <sheetName val="NOTA 1,2 - Przychody i segmenty"/>
      <sheetName val="NOTA 3 - Koszty rodzajowe"/>
      <sheetName val="NOTA 4 - PPO i PKO"/>
      <sheetName val="NOTA 5 - PF i KF"/>
      <sheetName val="NOTA 6 - Podatek "/>
      <sheetName val="NOTA 7 - Działalność zaniechana"/>
      <sheetName val="NOTA 8,9 - Zysk na 1 akcję"/>
      <sheetName val="NOTA 10,11 -Poz.dochody całko."/>
      <sheetName val="NOTA 12 -Rzeczowe aktywa trwałe"/>
      <sheetName val="NOTA 13 -Wartości niematerialne"/>
      <sheetName val="NOTA 14 -Wartość firmy"/>
      <sheetName val="NOTA 15 - Nieruchomości inwest"/>
      <sheetName val="NOTA 16 -Akcje i udziały"/>
      <sheetName val="NOTA 17 - Poz.akt.trw"/>
      <sheetName val="NOTA 18,19,20 akt.fin+pozostałe"/>
      <sheetName val="NOTA 21 - Zapasy"/>
      <sheetName val="NOTA 22 - Umowy długoterminowe"/>
      <sheetName val="NOTA 23,24 - Należności"/>
      <sheetName val="NOTA 25 - RMK"/>
      <sheetName val="NOTA 26 - Środki pieniężne"/>
      <sheetName val="NOTA 27,28,29,30,31 - Kapitały"/>
      <sheetName val="NOTA 32,33 - Kredyty i pożyczki"/>
      <sheetName val="NOTA 34, 35 -Zob finans"/>
      <sheetName val="NOTA 36 - Inne zob. długoterm."/>
      <sheetName val="NOTA 37,38 - Zob. hand. i pozos"/>
      <sheetName val="NOTA 39,40 - ZFŚS, Zob. warunko"/>
      <sheetName val="NOTA 41 - Leasing"/>
      <sheetName val="NOTA 42 - RMP"/>
      <sheetName val="NOTA 43,44 - Rezerwy"/>
      <sheetName val="NOTA 45 - Zarządzanie ryzykiem"/>
      <sheetName val="NOTA 46 - Instrumenty finansowe"/>
      <sheetName val="NOTA 47 - Zarządzanie kapitałem"/>
      <sheetName val="NOTA 48 Świadczenia pracownicze"/>
      <sheetName val="NOTA 49 - Podmioty powiązane"/>
      <sheetName val="NOTA 50 - Wynagrodzenie kadry "/>
      <sheetName val="NOTA 51 -Umowy leasingu op"/>
      <sheetName val="NOTA 52 - Aktywowane koszty"/>
      <sheetName val="NOTA 53,54,55,56,57,58,59"/>
      <sheetName val="NOTA 60 - Wynagrodzenie BR"/>
      <sheetName val="NOTA 61 - Objasnienia do RPP"/>
      <sheetName val="NOTA 62 - Przejście na MSR,MSSF"/>
      <sheetName val="inne"/>
      <sheetName val="NOTA 56 - Sprawozdanie skonsol."/>
      <sheetName val="Arkusz2"/>
    </sheetNames>
    <sheetDataSet>
      <sheetData sheetId="0" refreshError="1">
        <row r="8">
          <cell r="B8" t="str">
            <v>01.01.2013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tabSelected="1" workbookViewId="0"/>
  </sheetViews>
  <sheetFormatPr defaultRowHeight="15" x14ac:dyDescent="0.25"/>
  <cols>
    <col min="1" max="1" width="4.140625" customWidth="1"/>
    <col min="2" max="2" width="52.28515625" customWidth="1"/>
    <col min="3" max="3" width="12.5703125" style="64" customWidth="1"/>
    <col min="4" max="4" width="12.5703125" customWidth="1"/>
    <col min="5" max="5" width="9.7109375" style="64" bestFit="1" customWidth="1"/>
    <col min="6" max="6" width="12" customWidth="1"/>
  </cols>
  <sheetData>
    <row r="1" spans="2:6" ht="15.75" thickBot="1" x14ac:dyDescent="0.3"/>
    <row r="2" spans="2:6" ht="16.5" thickTop="1" thickBot="1" x14ac:dyDescent="0.3">
      <c r="C2" s="189" t="s">
        <v>29</v>
      </c>
      <c r="D2" s="190"/>
      <c r="E2" s="190"/>
      <c r="F2" s="191"/>
    </row>
    <row r="3" spans="2:6" ht="34.5" thickTop="1" x14ac:dyDescent="0.25">
      <c r="B3" s="146"/>
      <c r="C3" s="9" t="s">
        <v>136</v>
      </c>
      <c r="D3" s="9" t="s">
        <v>137</v>
      </c>
      <c r="E3" s="147" t="s">
        <v>138</v>
      </c>
      <c r="F3" s="148" t="s">
        <v>139</v>
      </c>
    </row>
    <row r="4" spans="2:6" x14ac:dyDescent="0.25">
      <c r="B4" s="1" t="s">
        <v>0</v>
      </c>
      <c r="C4" s="77">
        <f>C5+C6</f>
        <v>30846.51</v>
      </c>
      <c r="D4" s="58">
        <f>D6+D5</f>
        <v>31495.265580000007</v>
      </c>
      <c r="E4" s="77">
        <f>E5+E6</f>
        <v>102758.49</v>
      </c>
      <c r="F4" s="58">
        <f>F6+F5</f>
        <v>101964.93000000001</v>
      </c>
    </row>
    <row r="5" spans="2:6" x14ac:dyDescent="0.25">
      <c r="B5" s="2" t="s">
        <v>1</v>
      </c>
      <c r="C5" s="67">
        <v>23394.57</v>
      </c>
      <c r="D5" s="59">
        <v>23083.605810000008</v>
      </c>
      <c r="E5" s="67">
        <v>81491.100000000006</v>
      </c>
      <c r="F5" s="59">
        <v>78823.070000000007</v>
      </c>
    </row>
    <row r="6" spans="2:6" x14ac:dyDescent="0.25">
      <c r="B6" s="2" t="s">
        <v>2</v>
      </c>
      <c r="C6" s="67">
        <v>7451.94</v>
      </c>
      <c r="D6" s="59">
        <v>8411.6597700000002</v>
      </c>
      <c r="E6" s="67">
        <v>21267.39</v>
      </c>
      <c r="F6" s="59">
        <v>23141.86</v>
      </c>
    </row>
    <row r="7" spans="2:6" x14ac:dyDescent="0.25">
      <c r="B7" s="1" t="s">
        <v>3</v>
      </c>
      <c r="C7" s="77">
        <f>C8+C9</f>
        <v>21949.21</v>
      </c>
      <c r="D7" s="58">
        <f>D9+D8</f>
        <v>24154.362020000008</v>
      </c>
      <c r="E7" s="77">
        <f>E8+E9</f>
        <v>71763.399999999994</v>
      </c>
      <c r="F7" s="58">
        <f>F9+F8</f>
        <v>73742.66</v>
      </c>
    </row>
    <row r="8" spans="2:6" x14ac:dyDescent="0.25">
      <c r="B8" s="2" t="s">
        <v>4</v>
      </c>
      <c r="C8" s="67">
        <v>15212.85</v>
      </c>
      <c r="D8" s="59">
        <v>17292.740880000005</v>
      </c>
      <c r="E8" s="67">
        <v>54226.73</v>
      </c>
      <c r="F8" s="59">
        <v>54499.41</v>
      </c>
    </row>
    <row r="9" spans="2:6" x14ac:dyDescent="0.25">
      <c r="B9" s="2" t="s">
        <v>5</v>
      </c>
      <c r="C9" s="67">
        <v>6736.36</v>
      </c>
      <c r="D9" s="59">
        <v>6861.6211400000011</v>
      </c>
      <c r="E9" s="67">
        <v>17536.669999999998</v>
      </c>
      <c r="F9" s="59">
        <v>19243.25</v>
      </c>
    </row>
    <row r="10" spans="2:6" x14ac:dyDescent="0.25">
      <c r="B10" s="7" t="s">
        <v>6</v>
      </c>
      <c r="C10" s="78">
        <f>C4-C7</f>
        <v>8897.2999999999993</v>
      </c>
      <c r="D10" s="60">
        <f t="shared" ref="D10:F10" si="0">D4-D7</f>
        <v>7340.9035599999988</v>
      </c>
      <c r="E10" s="78">
        <f t="shared" si="0"/>
        <v>30995.090000000011</v>
      </c>
      <c r="F10" s="60">
        <f t="shared" si="0"/>
        <v>28222.270000000004</v>
      </c>
    </row>
    <row r="11" spans="2:6" x14ac:dyDescent="0.25">
      <c r="B11" s="2" t="s">
        <v>7</v>
      </c>
      <c r="C11" s="67">
        <v>0</v>
      </c>
      <c r="D11" s="59">
        <v>0</v>
      </c>
      <c r="E11" s="67">
        <v>0</v>
      </c>
      <c r="F11" s="59">
        <v>0</v>
      </c>
    </row>
    <row r="12" spans="2:6" x14ac:dyDescent="0.25">
      <c r="B12" s="3" t="s">
        <v>8</v>
      </c>
      <c r="C12" s="67">
        <v>393.93</v>
      </c>
      <c r="D12" s="59">
        <v>474.51479</v>
      </c>
      <c r="E12" s="67">
        <v>767.83</v>
      </c>
      <c r="F12" s="59">
        <v>859.95</v>
      </c>
    </row>
    <row r="13" spans="2:6" x14ac:dyDescent="0.25">
      <c r="B13" s="3" t="s">
        <v>9</v>
      </c>
      <c r="C13" s="67">
        <v>5557.14</v>
      </c>
      <c r="D13" s="59">
        <v>5303.5982499999991</v>
      </c>
      <c r="E13" s="67">
        <v>18413.669999999998</v>
      </c>
      <c r="F13" s="59">
        <v>16975.89</v>
      </c>
    </row>
    <row r="14" spans="2:6" x14ac:dyDescent="0.25">
      <c r="B14" s="3" t="s">
        <v>10</v>
      </c>
      <c r="C14" s="67">
        <v>2885.11</v>
      </c>
      <c r="D14" s="59">
        <v>2062.3962499999998</v>
      </c>
      <c r="E14" s="67">
        <v>10599.6</v>
      </c>
      <c r="F14" s="59">
        <v>8963.84</v>
      </c>
    </row>
    <row r="15" spans="2:6" x14ac:dyDescent="0.25">
      <c r="B15" s="3" t="s">
        <v>11</v>
      </c>
      <c r="C15" s="67">
        <v>0</v>
      </c>
      <c r="D15" s="59">
        <v>0</v>
      </c>
      <c r="E15" s="67">
        <v>0</v>
      </c>
      <c r="F15" s="59">
        <v>0</v>
      </c>
    </row>
    <row r="16" spans="2:6" x14ac:dyDescent="0.25">
      <c r="B16" s="3" t="s">
        <v>12</v>
      </c>
      <c r="C16" s="67">
        <v>46.4</v>
      </c>
      <c r="D16" s="59">
        <v>142.49932000000001</v>
      </c>
      <c r="E16" s="67">
        <v>138.30000000000001</v>
      </c>
      <c r="F16" s="59">
        <v>248.8</v>
      </c>
    </row>
    <row r="17" spans="2:7" x14ac:dyDescent="0.25">
      <c r="B17" s="7" t="s">
        <v>13</v>
      </c>
      <c r="C17" s="78">
        <f>C10+C11+C12-C13-C14-C15-C16</f>
        <v>802.57999999999913</v>
      </c>
      <c r="D17" s="60">
        <f t="shared" ref="D17:F17" si="1">D10+D11+D12-D13-D14-D15-D16</f>
        <v>306.92453000000012</v>
      </c>
      <c r="E17" s="78">
        <f t="shared" si="1"/>
        <v>2611.350000000014</v>
      </c>
      <c r="F17" s="60">
        <f t="shared" si="1"/>
        <v>2893.6900000000051</v>
      </c>
    </row>
    <row r="18" spans="2:7" x14ac:dyDescent="0.25">
      <c r="B18" s="3" t="s">
        <v>14</v>
      </c>
      <c r="C18" s="67">
        <v>0.27</v>
      </c>
      <c r="D18" s="59">
        <v>215.78709000000003</v>
      </c>
      <c r="E18" s="67">
        <v>11.67</v>
      </c>
      <c r="F18" s="59">
        <v>1035.6500000000001</v>
      </c>
    </row>
    <row r="19" spans="2:7" x14ac:dyDescent="0.25">
      <c r="B19" s="3" t="s">
        <v>15</v>
      </c>
      <c r="C19" s="67">
        <v>430.59</v>
      </c>
      <c r="D19" s="59">
        <v>305.03534999999999</v>
      </c>
      <c r="E19" s="67">
        <v>1111.31</v>
      </c>
      <c r="F19" s="59">
        <v>1017.71</v>
      </c>
    </row>
    <row r="20" spans="2:7" ht="22.5" x14ac:dyDescent="0.25">
      <c r="B20" s="3" t="s">
        <v>16</v>
      </c>
      <c r="C20" s="67">
        <v>0</v>
      </c>
      <c r="D20" s="59">
        <v>0</v>
      </c>
      <c r="E20" s="67">
        <v>0</v>
      </c>
      <c r="F20" s="59">
        <v>0</v>
      </c>
    </row>
    <row r="21" spans="2:7" x14ac:dyDescent="0.25">
      <c r="B21" s="7" t="s">
        <v>17</v>
      </c>
      <c r="C21" s="78">
        <f>C17+C18-C19-C20</f>
        <v>372.25999999999914</v>
      </c>
      <c r="D21" s="60">
        <f t="shared" ref="D21:F21" si="2">D17+D18-D19-D20</f>
        <v>217.67627000000016</v>
      </c>
      <c r="E21" s="78">
        <f t="shared" si="2"/>
        <v>1511.7100000000141</v>
      </c>
      <c r="F21" s="60">
        <f t="shared" si="2"/>
        <v>2911.6300000000051</v>
      </c>
    </row>
    <row r="22" spans="2:7" x14ac:dyDescent="0.25">
      <c r="B22" s="3" t="s">
        <v>18</v>
      </c>
      <c r="C22" s="67">
        <v>0</v>
      </c>
      <c r="D22" s="59">
        <v>-92.87</v>
      </c>
      <c r="E22" s="67">
        <v>0</v>
      </c>
      <c r="F22" s="59">
        <v>-92.87</v>
      </c>
    </row>
    <row r="23" spans="2:7" x14ac:dyDescent="0.25">
      <c r="B23" s="46" t="s">
        <v>19</v>
      </c>
      <c r="C23" s="81">
        <v>0</v>
      </c>
      <c r="D23" s="59">
        <v>-43.42</v>
      </c>
      <c r="E23" s="67">
        <v>0</v>
      </c>
      <c r="F23" s="59">
        <v>-43.42</v>
      </c>
    </row>
    <row r="24" spans="2:7" x14ac:dyDescent="0.25">
      <c r="B24" s="7" t="s">
        <v>20</v>
      </c>
      <c r="C24" s="78">
        <v>372.27</v>
      </c>
      <c r="D24" s="60">
        <f>D21-D22-D23</f>
        <v>353.96627000000018</v>
      </c>
      <c r="E24" s="78">
        <v>1511.71</v>
      </c>
      <c r="F24" s="60">
        <f>F21-F22-F23</f>
        <v>3047.9200000000051</v>
      </c>
    </row>
    <row r="25" spans="2:7" x14ac:dyDescent="0.25">
      <c r="B25" s="1" t="s">
        <v>21</v>
      </c>
      <c r="C25" s="78">
        <v>0</v>
      </c>
      <c r="D25" s="60">
        <v>0</v>
      </c>
      <c r="E25" s="78">
        <v>0</v>
      </c>
      <c r="F25" s="60">
        <v>0</v>
      </c>
    </row>
    <row r="26" spans="2:7" x14ac:dyDescent="0.25">
      <c r="B26" s="7" t="s">
        <v>22</v>
      </c>
      <c r="C26" s="78">
        <f>C21</f>
        <v>372.25999999999914</v>
      </c>
      <c r="D26" s="60">
        <f>D24</f>
        <v>353.96627000000018</v>
      </c>
      <c r="E26" s="78">
        <f t="shared" ref="E26" si="3">E21</f>
        <v>1511.7100000000141</v>
      </c>
      <c r="F26" s="60">
        <f>F24</f>
        <v>3047.9200000000051</v>
      </c>
    </row>
    <row r="27" spans="2:7" ht="16.5" customHeight="1" x14ac:dyDescent="0.25">
      <c r="B27" s="46" t="s">
        <v>23</v>
      </c>
      <c r="C27" s="81">
        <f>C26</f>
        <v>372.25999999999914</v>
      </c>
      <c r="D27" s="59">
        <v>310.55</v>
      </c>
      <c r="E27" s="67">
        <f>E26</f>
        <v>1511.7100000000141</v>
      </c>
      <c r="F27" s="59">
        <v>3004.5</v>
      </c>
      <c r="G27" s="35"/>
    </row>
    <row r="28" spans="2:7" x14ac:dyDescent="0.25">
      <c r="B28" s="46" t="s">
        <v>19</v>
      </c>
      <c r="C28" s="81">
        <v>0</v>
      </c>
      <c r="D28" s="59">
        <v>-43.42</v>
      </c>
      <c r="E28" s="67">
        <v>0</v>
      </c>
      <c r="F28" s="59">
        <v>-43.42</v>
      </c>
    </row>
    <row r="29" spans="2:7" x14ac:dyDescent="0.25">
      <c r="B29" s="5" t="s">
        <v>24</v>
      </c>
      <c r="C29" s="78">
        <f>$C$27*1000/7198570</f>
        <v>5.1713048563811856E-2</v>
      </c>
      <c r="D29" s="60">
        <f>$D$27*1000/7198570</f>
        <v>4.3140512629591711E-2</v>
      </c>
      <c r="E29" s="78">
        <f>$E$27*1000/7198570</f>
        <v>0.21000143083973818</v>
      </c>
      <c r="F29" s="60">
        <f>$F$27*1000/7198570</f>
        <v>0.41737456189215361</v>
      </c>
    </row>
    <row r="30" spans="2:7" x14ac:dyDescent="0.25">
      <c r="B30" s="6" t="s">
        <v>25</v>
      </c>
      <c r="C30" s="82">
        <f t="shared" ref="C30:C34" si="4">$C$27*1000/7198570</f>
        <v>5.1713048563811856E-2</v>
      </c>
      <c r="D30" s="63">
        <f t="shared" ref="D30:D34" si="5">$D$27*1000/7198570</f>
        <v>4.3140512629591711E-2</v>
      </c>
      <c r="E30" s="79">
        <f t="shared" ref="E30:E34" si="6">$E$27*1000/7198570</f>
        <v>0.21000143083973818</v>
      </c>
      <c r="F30" s="62">
        <f t="shared" ref="F30:F34" si="7">$F$27*1000/7198570</f>
        <v>0.41737456189215361</v>
      </c>
    </row>
    <row r="31" spans="2:7" x14ac:dyDescent="0.25">
      <c r="B31" s="6" t="s">
        <v>26</v>
      </c>
      <c r="C31" s="82">
        <f t="shared" si="4"/>
        <v>5.1713048563811856E-2</v>
      </c>
      <c r="D31" s="63">
        <f t="shared" si="5"/>
        <v>4.3140512629591711E-2</v>
      </c>
      <c r="E31" s="79">
        <f t="shared" si="6"/>
        <v>0.21000143083973818</v>
      </c>
      <c r="F31" s="62">
        <f t="shared" si="7"/>
        <v>0.41737456189215361</v>
      </c>
    </row>
    <row r="32" spans="2:7" ht="22.5" x14ac:dyDescent="0.25">
      <c r="B32" s="7" t="s">
        <v>27</v>
      </c>
      <c r="C32" s="78">
        <f t="shared" si="4"/>
        <v>5.1713048563811856E-2</v>
      </c>
      <c r="D32" s="60">
        <f t="shared" si="5"/>
        <v>4.3140512629591711E-2</v>
      </c>
      <c r="E32" s="78">
        <f t="shared" si="6"/>
        <v>0.21000143083973818</v>
      </c>
      <c r="F32" s="60">
        <f t="shared" si="7"/>
        <v>0.41737456189215361</v>
      </c>
      <c r="G32" s="45"/>
    </row>
    <row r="33" spans="2:7" x14ac:dyDescent="0.25">
      <c r="B33" s="2" t="s">
        <v>25</v>
      </c>
      <c r="C33" s="82">
        <f t="shared" si="4"/>
        <v>5.1713048563811856E-2</v>
      </c>
      <c r="D33" s="63">
        <f t="shared" si="5"/>
        <v>4.3140512629591711E-2</v>
      </c>
      <c r="E33" s="79">
        <f t="shared" si="6"/>
        <v>0.21000143083973818</v>
      </c>
      <c r="F33" s="62">
        <f t="shared" si="7"/>
        <v>0.41737456189215361</v>
      </c>
      <c r="G33" s="45"/>
    </row>
    <row r="34" spans="2:7" x14ac:dyDescent="0.25">
      <c r="B34" s="2" t="s">
        <v>26</v>
      </c>
      <c r="C34" s="82">
        <f t="shared" si="4"/>
        <v>5.1713048563811856E-2</v>
      </c>
      <c r="D34" s="63">
        <f t="shared" si="5"/>
        <v>4.3140512629591711E-2</v>
      </c>
      <c r="E34" s="79">
        <f t="shared" si="6"/>
        <v>0.21000143083973818</v>
      </c>
      <c r="F34" s="62">
        <f t="shared" si="7"/>
        <v>0.41737456189215361</v>
      </c>
      <c r="G34" s="45"/>
    </row>
    <row r="35" spans="2:7" ht="23.25" thickBot="1" x14ac:dyDescent="0.3">
      <c r="B35" s="8" t="s">
        <v>28</v>
      </c>
      <c r="C35" s="80">
        <v>0</v>
      </c>
      <c r="D35" s="61">
        <v>0</v>
      </c>
      <c r="E35" s="80">
        <v>0</v>
      </c>
      <c r="F35" s="61">
        <v>0</v>
      </c>
      <c r="G35" s="45"/>
    </row>
    <row r="36" spans="2:7" ht="15.75" thickTop="1" x14ac:dyDescent="0.25">
      <c r="D36" s="64"/>
      <c r="F36" s="47"/>
    </row>
  </sheetData>
  <mergeCells count="1">
    <mergeCell ref="C2:F2"/>
  </mergeCells>
  <pageMargins left="0.70866141732283472" right="0.70866141732283472" top="0.15748031496062992" bottom="0.15748031496062992" header="0.31496062992125984" footer="0.31496062992125984"/>
  <pageSetup paperSize="9" orientation="landscape" r:id="rId1"/>
  <ignoredErrors>
    <ignoredError sqref="D4 D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workbookViewId="0"/>
  </sheetViews>
  <sheetFormatPr defaultRowHeight="15" x14ac:dyDescent="0.25"/>
  <cols>
    <col min="2" max="2" width="61.7109375" customWidth="1"/>
    <col min="3" max="6" width="12.5703125" customWidth="1"/>
  </cols>
  <sheetData>
    <row r="1" spans="2:6" ht="15.75" thickBot="1" x14ac:dyDescent="0.3"/>
    <row r="2" spans="2:6" ht="16.5" thickTop="1" thickBot="1" x14ac:dyDescent="0.3">
      <c r="C2" s="192" t="s">
        <v>29</v>
      </c>
      <c r="D2" s="193"/>
      <c r="E2" s="193"/>
      <c r="F2" s="194"/>
    </row>
    <row r="3" spans="2:6" ht="36.75" customHeight="1" thickTop="1" x14ac:dyDescent="0.25">
      <c r="B3" s="149"/>
      <c r="C3" s="9" t="s">
        <v>136</v>
      </c>
      <c r="D3" s="152" t="s">
        <v>137</v>
      </c>
      <c r="E3" s="150" t="s">
        <v>138</v>
      </c>
      <c r="F3" s="148" t="s">
        <v>139</v>
      </c>
    </row>
    <row r="4" spans="2:6" x14ac:dyDescent="0.25">
      <c r="B4" s="4" t="s">
        <v>22</v>
      </c>
      <c r="C4" s="65">
        <f>'RZiS GK'!C26</f>
        <v>372.25999999999914</v>
      </c>
      <c r="D4" s="153">
        <f>'RZiS GK'!D26</f>
        <v>353.96627000000018</v>
      </c>
      <c r="E4" s="65">
        <f>'RZiS GK'!E26</f>
        <v>1511.7100000000141</v>
      </c>
      <c r="F4" s="66">
        <f>'RZiS GK'!F26</f>
        <v>3047.9200000000051</v>
      </c>
    </row>
    <row r="5" spans="2:6" x14ac:dyDescent="0.25">
      <c r="B5" s="3" t="s">
        <v>77</v>
      </c>
      <c r="C5" s="67">
        <v>0</v>
      </c>
      <c r="D5" s="154">
        <v>-6</v>
      </c>
      <c r="E5" s="81">
        <v>0</v>
      </c>
      <c r="F5" s="59">
        <v>-6</v>
      </c>
    </row>
    <row r="6" spans="2:6" ht="22.5" x14ac:dyDescent="0.25">
      <c r="B6" s="3" t="s">
        <v>78</v>
      </c>
      <c r="C6" s="67">
        <v>0</v>
      </c>
      <c r="D6" s="154">
        <v>0</v>
      </c>
      <c r="E6" s="81">
        <v>0</v>
      </c>
      <c r="F6" s="59">
        <v>0</v>
      </c>
    </row>
    <row r="7" spans="2:6" ht="22.5" x14ac:dyDescent="0.25">
      <c r="B7" s="3" t="s">
        <v>79</v>
      </c>
      <c r="C7" s="67">
        <v>0</v>
      </c>
      <c r="D7" s="154">
        <v>0</v>
      </c>
      <c r="E7" s="81">
        <v>0</v>
      </c>
      <c r="F7" s="59">
        <v>0</v>
      </c>
    </row>
    <row r="8" spans="2:6" x14ac:dyDescent="0.25">
      <c r="B8" s="3" t="s">
        <v>80</v>
      </c>
      <c r="C8" s="67">
        <v>0</v>
      </c>
      <c r="D8" s="154">
        <v>0</v>
      </c>
      <c r="E8" s="81">
        <v>0</v>
      </c>
      <c r="F8" s="59">
        <v>0</v>
      </c>
    </row>
    <row r="9" spans="2:6" x14ac:dyDescent="0.25">
      <c r="B9" s="3" t="s">
        <v>81</v>
      </c>
      <c r="C9" s="67">
        <v>0</v>
      </c>
      <c r="D9" s="154">
        <v>0</v>
      </c>
      <c r="E9" s="81">
        <v>0</v>
      </c>
      <c r="F9" s="59">
        <v>0</v>
      </c>
    </row>
    <row r="10" spans="2:6" x14ac:dyDescent="0.25">
      <c r="B10" s="3" t="s">
        <v>82</v>
      </c>
      <c r="C10" s="67">
        <v>0</v>
      </c>
      <c r="D10" s="154">
        <v>0</v>
      </c>
      <c r="E10" s="81">
        <v>0</v>
      </c>
      <c r="F10" s="59">
        <v>0</v>
      </c>
    </row>
    <row r="11" spans="2:6" x14ac:dyDescent="0.25">
      <c r="B11" s="4" t="s">
        <v>83</v>
      </c>
      <c r="C11" s="65">
        <f>SUM(C4:C10)</f>
        <v>372.25999999999914</v>
      </c>
      <c r="D11" s="153">
        <f>SUM(D4:D10)</f>
        <v>347.96627000000018</v>
      </c>
      <c r="E11" s="65">
        <f>SUM(E4:E10)</f>
        <v>1511.7100000000141</v>
      </c>
      <c r="F11" s="66">
        <f>SUM(F4:F10)</f>
        <v>3041.9200000000051</v>
      </c>
    </row>
    <row r="12" spans="2:6" x14ac:dyDescent="0.25">
      <c r="B12" s="15" t="s">
        <v>84</v>
      </c>
      <c r="C12" s="68">
        <v>0</v>
      </c>
      <c r="D12" s="155">
        <v>-43.42</v>
      </c>
      <c r="E12" s="81">
        <v>0</v>
      </c>
      <c r="F12" s="59">
        <v>-43.42</v>
      </c>
    </row>
    <row r="13" spans="2:6" ht="15.75" thickBot="1" x14ac:dyDescent="0.3">
      <c r="B13" s="157" t="s">
        <v>85</v>
      </c>
      <c r="C13" s="69">
        <f>SUM(C11:C12)</f>
        <v>372.25999999999914</v>
      </c>
      <c r="D13" s="156">
        <f>SUM(D11:D12)</f>
        <v>304.54627000000016</v>
      </c>
      <c r="E13" s="151">
        <f>SUM(E11:E12)</f>
        <v>1511.7100000000141</v>
      </c>
      <c r="F13" s="70">
        <f>SUM(F11:F12)</f>
        <v>2998.500000000005</v>
      </c>
    </row>
    <row r="14" spans="2:6" ht="15.75" thickTop="1" x14ac:dyDescent="0.25"/>
  </sheetData>
  <mergeCells count="1">
    <mergeCell ref="C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9"/>
  <sheetViews>
    <sheetView zoomScaleNormal="100" workbookViewId="0"/>
  </sheetViews>
  <sheetFormatPr defaultRowHeight="15" x14ac:dyDescent="0.25"/>
  <cols>
    <col min="1" max="1" width="4.42578125" customWidth="1"/>
    <col min="2" max="2" width="55.42578125" customWidth="1"/>
    <col min="3" max="4" width="13.140625" style="64" customWidth="1"/>
    <col min="5" max="5" width="19" customWidth="1"/>
  </cols>
  <sheetData>
    <row r="1" spans="2:4" ht="15.75" thickBot="1" x14ac:dyDescent="0.3"/>
    <row r="2" spans="2:4" ht="16.5" thickTop="1" thickBot="1" x14ac:dyDescent="0.3">
      <c r="C2" s="195" t="s">
        <v>29</v>
      </c>
      <c r="D2" s="196"/>
    </row>
    <row r="3" spans="2:4" ht="25.5" customHeight="1" thickTop="1" x14ac:dyDescent="0.25">
      <c r="B3" s="158" t="s">
        <v>50</v>
      </c>
      <c r="C3" s="159" t="s">
        <v>140</v>
      </c>
      <c r="D3" s="160" t="s">
        <v>141</v>
      </c>
    </row>
    <row r="4" spans="2:4" x14ac:dyDescent="0.25">
      <c r="B4" s="10" t="s">
        <v>30</v>
      </c>
      <c r="C4" s="83">
        <f>SUM(C5:C12)</f>
        <v>31128.959999999999</v>
      </c>
      <c r="D4" s="71">
        <f>SUM(D5:D12)</f>
        <v>30261.010000000002</v>
      </c>
    </row>
    <row r="5" spans="2:4" x14ac:dyDescent="0.25">
      <c r="B5" s="3" t="s">
        <v>31</v>
      </c>
      <c r="C5" s="67">
        <v>27402.82</v>
      </c>
      <c r="D5" s="59">
        <v>27471.57</v>
      </c>
    </row>
    <row r="6" spans="2:4" x14ac:dyDescent="0.25">
      <c r="B6" s="3" t="s">
        <v>32</v>
      </c>
      <c r="C6" s="67">
        <v>1294.5999999999999</v>
      </c>
      <c r="D6" s="59">
        <v>1498.52</v>
      </c>
    </row>
    <row r="7" spans="2:4" x14ac:dyDescent="0.25">
      <c r="B7" s="3" t="s">
        <v>33</v>
      </c>
      <c r="C7" s="67">
        <v>1063.5999999999999</v>
      </c>
      <c r="D7" s="59">
        <v>1087.43</v>
      </c>
    </row>
    <row r="8" spans="2:4" x14ac:dyDescent="0.25">
      <c r="B8" s="3" t="s">
        <v>34</v>
      </c>
      <c r="C8" s="67">
        <v>1226.3800000000001</v>
      </c>
      <c r="D8" s="59">
        <v>0</v>
      </c>
    </row>
    <row r="9" spans="2:4" x14ac:dyDescent="0.25">
      <c r="B9" s="3" t="s">
        <v>35</v>
      </c>
      <c r="C9" s="67">
        <v>0</v>
      </c>
      <c r="D9" s="59">
        <v>0</v>
      </c>
    </row>
    <row r="10" spans="2:4" x14ac:dyDescent="0.25">
      <c r="B10" s="3" t="s">
        <v>36</v>
      </c>
      <c r="C10" s="67">
        <v>0</v>
      </c>
      <c r="D10" s="59">
        <v>0</v>
      </c>
    </row>
    <row r="11" spans="2:4" x14ac:dyDescent="0.25">
      <c r="B11" s="3" t="s">
        <v>37</v>
      </c>
      <c r="C11" s="67">
        <v>141.56</v>
      </c>
      <c r="D11" s="59">
        <v>203.49</v>
      </c>
    </row>
    <row r="12" spans="2:4" x14ac:dyDescent="0.25">
      <c r="B12" s="3" t="s">
        <v>38</v>
      </c>
      <c r="C12" s="67">
        <v>0</v>
      </c>
      <c r="D12" s="59">
        <v>0</v>
      </c>
    </row>
    <row r="13" spans="2:4" x14ac:dyDescent="0.25">
      <c r="B13" s="11" t="s">
        <v>39</v>
      </c>
      <c r="C13" s="83">
        <f>SUM(C14:C22)</f>
        <v>51944.09</v>
      </c>
      <c r="D13" s="71">
        <f>SUM(D14:D22)</f>
        <v>47195.62999999999</v>
      </c>
    </row>
    <row r="14" spans="2:4" x14ac:dyDescent="0.25">
      <c r="B14" s="3" t="s">
        <v>40</v>
      </c>
      <c r="C14" s="67">
        <v>24898.26</v>
      </c>
      <c r="D14" s="59">
        <v>21464.45</v>
      </c>
    </row>
    <row r="15" spans="2:4" x14ac:dyDescent="0.25">
      <c r="B15" s="3" t="s">
        <v>41</v>
      </c>
      <c r="C15" s="67">
        <v>18860.22</v>
      </c>
      <c r="D15" s="59">
        <f>21416.46+28.07</f>
        <v>21444.53</v>
      </c>
    </row>
    <row r="16" spans="2:4" x14ac:dyDescent="0.25">
      <c r="B16" s="3" t="s">
        <v>42</v>
      </c>
      <c r="C16" s="67">
        <v>0</v>
      </c>
      <c r="D16" s="59">
        <v>0</v>
      </c>
    </row>
    <row r="17" spans="2:5" x14ac:dyDescent="0.25">
      <c r="B17" s="3" t="s">
        <v>43</v>
      </c>
      <c r="C17" s="67">
        <f>1023+444.24</f>
        <v>1467.24</v>
      </c>
      <c r="D17" s="59">
        <v>1429.27</v>
      </c>
    </row>
    <row r="18" spans="2:5" x14ac:dyDescent="0.25">
      <c r="B18" s="3" t="s">
        <v>44</v>
      </c>
      <c r="C18" s="67">
        <v>0</v>
      </c>
      <c r="D18" s="59">
        <v>0</v>
      </c>
    </row>
    <row r="19" spans="2:5" ht="22.5" x14ac:dyDescent="0.25">
      <c r="B19" s="3" t="s">
        <v>45</v>
      </c>
      <c r="C19" s="67">
        <v>0</v>
      </c>
      <c r="D19" s="59">
        <v>0</v>
      </c>
    </row>
    <row r="20" spans="2:5" x14ac:dyDescent="0.25">
      <c r="B20" s="3" t="s">
        <v>36</v>
      </c>
      <c r="C20" s="67">
        <v>0</v>
      </c>
      <c r="D20" s="59">
        <v>0</v>
      </c>
    </row>
    <row r="21" spans="2:5" x14ac:dyDescent="0.25">
      <c r="B21" s="3" t="s">
        <v>46</v>
      </c>
      <c r="C21" s="67">
        <v>3076.15</v>
      </c>
      <c r="D21" s="59">
        <v>1533.07</v>
      </c>
    </row>
    <row r="22" spans="2:5" x14ac:dyDescent="0.25">
      <c r="B22" s="3" t="s">
        <v>47</v>
      </c>
      <c r="C22" s="67">
        <v>3642.22</v>
      </c>
      <c r="D22" s="59">
        <v>1324.31</v>
      </c>
    </row>
    <row r="23" spans="2:5" x14ac:dyDescent="0.25">
      <c r="B23" s="11" t="s">
        <v>48</v>
      </c>
      <c r="C23" s="83">
        <v>0</v>
      </c>
      <c r="D23" s="71">
        <v>0</v>
      </c>
    </row>
    <row r="24" spans="2:5" ht="15.75" thickBot="1" x14ac:dyDescent="0.3">
      <c r="B24" s="12" t="s">
        <v>49</v>
      </c>
      <c r="C24" s="84">
        <f>C4+C13</f>
        <v>83073.049999999988</v>
      </c>
      <c r="D24" s="72">
        <f>D13+D4</f>
        <v>77456.639999999985</v>
      </c>
      <c r="E24" s="35"/>
    </row>
    <row r="25" spans="2:5" ht="16.5" thickTop="1" thickBot="1" x14ac:dyDescent="0.3"/>
    <row r="26" spans="2:5" ht="16.5" thickTop="1" thickBot="1" x14ac:dyDescent="0.3">
      <c r="C26" s="195" t="s">
        <v>29</v>
      </c>
      <c r="D26" s="196"/>
    </row>
    <row r="27" spans="2:5" ht="23.25" thickTop="1" x14ac:dyDescent="0.25">
      <c r="B27" s="158" t="s">
        <v>51</v>
      </c>
      <c r="C27" s="159" t="s">
        <v>140</v>
      </c>
      <c r="D27" s="160" t="s">
        <v>141</v>
      </c>
    </row>
    <row r="28" spans="2:5" x14ac:dyDescent="0.25">
      <c r="B28" s="11" t="s">
        <v>52</v>
      </c>
      <c r="C28" s="85">
        <f>SUM(C29:C37)</f>
        <v>39730.310000000005</v>
      </c>
      <c r="D28" s="73">
        <f>SUM(D29:D37)</f>
        <v>38221.660000000003</v>
      </c>
      <c r="E28" s="35"/>
    </row>
    <row r="29" spans="2:5" x14ac:dyDescent="0.25">
      <c r="B29" s="3" t="s">
        <v>53</v>
      </c>
      <c r="C29" s="86">
        <v>1799.64</v>
      </c>
      <c r="D29" s="74">
        <v>1799.64</v>
      </c>
    </row>
    <row r="30" spans="2:5" x14ac:dyDescent="0.25">
      <c r="B30" s="3" t="s">
        <v>54</v>
      </c>
      <c r="C30" s="86">
        <v>23815.49</v>
      </c>
      <c r="D30" s="74">
        <v>23815.49</v>
      </c>
    </row>
    <row r="31" spans="2:5" x14ac:dyDescent="0.25">
      <c r="B31" s="3" t="s">
        <v>55</v>
      </c>
      <c r="C31" s="86">
        <v>0</v>
      </c>
      <c r="D31" s="74">
        <v>0</v>
      </c>
    </row>
    <row r="32" spans="2:5" x14ac:dyDescent="0.25">
      <c r="B32" s="3" t="s">
        <v>56</v>
      </c>
      <c r="C32" s="86">
        <v>10454.81</v>
      </c>
      <c r="D32" s="74">
        <v>7387.5</v>
      </c>
    </row>
    <row r="33" spans="2:5" x14ac:dyDescent="0.25">
      <c r="B33" s="3" t="s">
        <v>57</v>
      </c>
      <c r="C33" s="86">
        <v>0</v>
      </c>
      <c r="D33" s="74">
        <v>0</v>
      </c>
    </row>
    <row r="34" spans="2:5" x14ac:dyDescent="0.25">
      <c r="B34" s="3" t="s">
        <v>58</v>
      </c>
      <c r="C34" s="86">
        <v>0</v>
      </c>
      <c r="D34" s="74">
        <v>19</v>
      </c>
    </row>
    <row r="35" spans="2:5" x14ac:dyDescent="0.25">
      <c r="B35" s="3" t="s">
        <v>59</v>
      </c>
      <c r="C35" s="86">
        <v>2148.66</v>
      </c>
      <c r="D35" s="74">
        <v>2145.13</v>
      </c>
    </row>
    <row r="36" spans="2:5" x14ac:dyDescent="0.25">
      <c r="B36" s="3" t="s">
        <v>60</v>
      </c>
      <c r="C36" s="86">
        <v>1511.71</v>
      </c>
      <c r="D36" s="74">
        <v>3047.9</v>
      </c>
    </row>
    <row r="37" spans="2:5" x14ac:dyDescent="0.25">
      <c r="B37" s="3" t="s">
        <v>61</v>
      </c>
      <c r="C37" s="86">
        <v>0</v>
      </c>
      <c r="D37" s="74">
        <v>7</v>
      </c>
    </row>
    <row r="38" spans="2:5" x14ac:dyDescent="0.25">
      <c r="B38" s="11" t="s">
        <v>62</v>
      </c>
      <c r="C38" s="85">
        <f>SUM(C39:C45)</f>
        <v>8390.2099999999991</v>
      </c>
      <c r="D38" s="73">
        <f>SUM(D39:D45)</f>
        <v>3886.6999999999994</v>
      </c>
      <c r="E38" s="35"/>
    </row>
    <row r="39" spans="2:5" x14ac:dyDescent="0.25">
      <c r="B39" s="3" t="s">
        <v>63</v>
      </c>
      <c r="C39" s="86">
        <v>6893.33</v>
      </c>
      <c r="D39" s="74">
        <v>1813.12</v>
      </c>
    </row>
    <row r="40" spans="2:5" x14ac:dyDescent="0.25">
      <c r="B40" s="3" t="s">
        <v>64</v>
      </c>
      <c r="C40" s="86">
        <v>685.38</v>
      </c>
      <c r="D40" s="74">
        <v>1098.32</v>
      </c>
    </row>
    <row r="41" spans="2:5" x14ac:dyDescent="0.25">
      <c r="B41" s="3" t="s">
        <v>65</v>
      </c>
      <c r="C41" s="86">
        <v>0</v>
      </c>
      <c r="D41" s="74">
        <v>0</v>
      </c>
    </row>
    <row r="42" spans="2:5" x14ac:dyDescent="0.25">
      <c r="B42" s="3" t="s">
        <v>66</v>
      </c>
      <c r="C42" s="86">
        <v>277.7</v>
      </c>
      <c r="D42" s="74">
        <v>154.66</v>
      </c>
    </row>
    <row r="43" spans="2:5" x14ac:dyDescent="0.25">
      <c r="B43" s="3" t="s">
        <v>67</v>
      </c>
      <c r="C43" s="86">
        <v>533.79999999999995</v>
      </c>
      <c r="D43" s="74">
        <v>746.87</v>
      </c>
    </row>
    <row r="44" spans="2:5" x14ac:dyDescent="0.25">
      <c r="B44" s="3" t="s">
        <v>68</v>
      </c>
      <c r="C44" s="86">
        <v>0</v>
      </c>
      <c r="D44" s="74">
        <v>73.73</v>
      </c>
    </row>
    <row r="45" spans="2:5" x14ac:dyDescent="0.25">
      <c r="B45" s="3" t="s">
        <v>69</v>
      </c>
      <c r="C45" s="86">
        <v>0</v>
      </c>
      <c r="D45" s="74">
        <v>0</v>
      </c>
    </row>
    <row r="46" spans="2:5" x14ac:dyDescent="0.25">
      <c r="B46" s="11" t="s">
        <v>70</v>
      </c>
      <c r="C46" s="85">
        <f>SUM(C47:C55)</f>
        <v>34952.530000000006</v>
      </c>
      <c r="D46" s="73">
        <f>SUM(D47:D55)</f>
        <v>35348.28</v>
      </c>
    </row>
    <row r="47" spans="2:5" x14ac:dyDescent="0.25">
      <c r="B47" s="3" t="s">
        <v>63</v>
      </c>
      <c r="C47" s="86">
        <v>7139.18</v>
      </c>
      <c r="D47" s="74">
        <v>10192.32</v>
      </c>
    </row>
    <row r="48" spans="2:5" x14ac:dyDescent="0.25">
      <c r="B48" s="3" t="s">
        <v>64</v>
      </c>
      <c r="C48" s="86">
        <v>828.18</v>
      </c>
      <c r="D48" s="74">
        <v>1049.22</v>
      </c>
    </row>
    <row r="49" spans="2:5" x14ac:dyDescent="0.25">
      <c r="B49" s="3" t="s">
        <v>71</v>
      </c>
      <c r="C49" s="86">
        <v>22660.62</v>
      </c>
      <c r="D49" s="74">
        <f>20149+19.88</f>
        <v>20168.88</v>
      </c>
    </row>
    <row r="50" spans="2:5" x14ac:dyDescent="0.25">
      <c r="B50" s="13" t="s">
        <v>72</v>
      </c>
      <c r="C50" s="86">
        <v>0</v>
      </c>
      <c r="D50" s="74">
        <v>0</v>
      </c>
    </row>
    <row r="51" spans="2:5" x14ac:dyDescent="0.25">
      <c r="B51" s="3" t="s">
        <v>73</v>
      </c>
      <c r="C51" s="86">
        <f>1599.73+1056.04+18.36</f>
        <v>2674.13</v>
      </c>
      <c r="D51" s="74">
        <f>1705.4+1117.41+11.33</f>
        <v>2834.1400000000003</v>
      </c>
    </row>
    <row r="52" spans="2:5" x14ac:dyDescent="0.25">
      <c r="B52" s="3" t="s">
        <v>67</v>
      </c>
      <c r="C52" s="86">
        <v>181.6</v>
      </c>
      <c r="D52" s="74">
        <v>225.89</v>
      </c>
    </row>
    <row r="53" spans="2:5" x14ac:dyDescent="0.25">
      <c r="B53" s="3" t="s">
        <v>68</v>
      </c>
      <c r="C53" s="86">
        <v>234.41</v>
      </c>
      <c r="D53" s="74">
        <v>160.68</v>
      </c>
    </row>
    <row r="54" spans="2:5" x14ac:dyDescent="0.25">
      <c r="B54" s="3" t="s">
        <v>69</v>
      </c>
      <c r="C54" s="86">
        <v>1234.4100000000001</v>
      </c>
      <c r="D54" s="74">
        <v>717.15</v>
      </c>
    </row>
    <row r="55" spans="2:5" ht="23.25" x14ac:dyDescent="0.25">
      <c r="B55" s="14" t="s">
        <v>74</v>
      </c>
      <c r="C55" s="86">
        <v>0</v>
      </c>
      <c r="D55" s="74">
        <v>0</v>
      </c>
    </row>
    <row r="56" spans="2:5" x14ac:dyDescent="0.25">
      <c r="B56" s="10" t="s">
        <v>75</v>
      </c>
      <c r="C56" s="85">
        <f>C28+C38+C46</f>
        <v>83073.050000000017</v>
      </c>
      <c r="D56" s="73">
        <f>D46+D38+D28</f>
        <v>77456.639999999999</v>
      </c>
      <c r="E56" s="35"/>
    </row>
    <row r="57" spans="2:5" ht="15.75" thickBot="1" x14ac:dyDescent="0.3">
      <c r="B57" s="22" t="s">
        <v>76</v>
      </c>
      <c r="C57" s="87">
        <f>C56*1000/7198570</f>
        <v>11.540215626159087</v>
      </c>
      <c r="D57" s="75">
        <f>D56*1000/7198570</f>
        <v>10.760003722961644</v>
      </c>
    </row>
    <row r="58" spans="2:5" ht="15.75" thickTop="1" x14ac:dyDescent="0.25"/>
    <row r="59" spans="2:5" x14ac:dyDescent="0.25">
      <c r="C59" s="76"/>
      <c r="D59" s="76"/>
    </row>
  </sheetData>
  <mergeCells count="2">
    <mergeCell ref="C2:D2"/>
    <mergeCell ref="C26:D26"/>
  </mergeCells>
  <pageMargins left="0.70866141732283472" right="0.70866141732283472" top="0.15748031496062992" bottom="0.15748031496062992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workbookViewId="0"/>
  </sheetViews>
  <sheetFormatPr defaultRowHeight="15" x14ac:dyDescent="0.25"/>
  <cols>
    <col min="2" max="2" width="32.42578125" customWidth="1"/>
    <col min="3" max="3" width="11" customWidth="1"/>
    <col min="4" max="4" width="17.28515625" customWidth="1"/>
    <col min="5" max="5" width="11" customWidth="1"/>
    <col min="6" max="7" width="12" customWidth="1"/>
    <col min="8" max="8" width="11" customWidth="1"/>
    <col min="9" max="9" width="15.28515625" customWidth="1"/>
    <col min="10" max="10" width="12" customWidth="1"/>
    <col min="12" max="12" width="11" customWidth="1"/>
  </cols>
  <sheetData>
    <row r="1" spans="2:13" ht="15.75" thickBot="1" x14ac:dyDescent="0.3"/>
    <row r="2" spans="2:13" ht="16.5" thickTop="1" thickBot="1" x14ac:dyDescent="0.3">
      <c r="C2" s="195" t="s">
        <v>29</v>
      </c>
      <c r="D2" s="200"/>
      <c r="E2" s="200"/>
      <c r="F2" s="200"/>
      <c r="G2" s="200"/>
      <c r="H2" s="200"/>
      <c r="I2" s="200"/>
      <c r="J2" s="196"/>
    </row>
    <row r="3" spans="2:13" ht="45.75" thickTop="1" x14ac:dyDescent="0.25">
      <c r="B3" s="161"/>
      <c r="C3" s="162" t="s">
        <v>53</v>
      </c>
      <c r="D3" s="162" t="s">
        <v>86</v>
      </c>
      <c r="E3" s="162" t="s">
        <v>56</v>
      </c>
      <c r="F3" s="162" t="s">
        <v>57</v>
      </c>
      <c r="G3" s="162" t="s">
        <v>59</v>
      </c>
      <c r="H3" s="162" t="s">
        <v>60</v>
      </c>
      <c r="I3" s="162" t="s">
        <v>87</v>
      </c>
      <c r="J3" s="163" t="s">
        <v>88</v>
      </c>
      <c r="L3" s="35"/>
    </row>
    <row r="4" spans="2:13" x14ac:dyDescent="0.25">
      <c r="B4" s="197" t="s">
        <v>142</v>
      </c>
      <c r="C4" s="198"/>
      <c r="D4" s="198"/>
      <c r="E4" s="198"/>
      <c r="F4" s="198"/>
      <c r="G4" s="198"/>
      <c r="H4" s="198"/>
      <c r="I4" s="198"/>
      <c r="J4" s="199"/>
      <c r="L4" s="35"/>
    </row>
    <row r="5" spans="2:13" x14ac:dyDescent="0.25">
      <c r="B5" s="18" t="str">
        <f>CONCATENATE("Kapitał własny na dzień  ",'[1]Dane podstawowe'!$B$8," ","r.")</f>
        <v>Kapitał własny na dzień  01.01.2013 r.</v>
      </c>
      <c r="C5" s="88">
        <f>C27</f>
        <v>1799.64</v>
      </c>
      <c r="D5" s="88">
        <f t="shared" ref="D5:G5" si="0">D27</f>
        <v>23815.49</v>
      </c>
      <c r="E5" s="88">
        <f t="shared" si="0"/>
        <v>7406.9400000000005</v>
      </c>
      <c r="F5" s="88">
        <f>H27</f>
        <v>3047.93</v>
      </c>
      <c r="G5" s="88">
        <f t="shared" si="0"/>
        <v>2144.6600000000003</v>
      </c>
      <c r="H5" s="88">
        <v>0</v>
      </c>
      <c r="I5" s="88">
        <f>SUM(C5:H5)</f>
        <v>38214.660000000003</v>
      </c>
      <c r="J5" s="92">
        <f>I5</f>
        <v>38214.660000000003</v>
      </c>
      <c r="L5" s="35"/>
    </row>
    <row r="6" spans="2:13" x14ac:dyDescent="0.25">
      <c r="B6" s="16" t="s">
        <v>89</v>
      </c>
      <c r="C6" s="89">
        <v>0</v>
      </c>
      <c r="D6" s="89">
        <v>0</v>
      </c>
      <c r="E6" s="89">
        <v>0</v>
      </c>
      <c r="F6" s="89">
        <v>0</v>
      </c>
      <c r="G6" s="89">
        <v>0</v>
      </c>
      <c r="H6" s="89">
        <v>0</v>
      </c>
      <c r="I6" s="89">
        <v>0</v>
      </c>
      <c r="J6" s="91">
        <v>0</v>
      </c>
      <c r="L6" s="35"/>
    </row>
    <row r="7" spans="2:13" x14ac:dyDescent="0.25">
      <c r="B7" s="16" t="s">
        <v>90</v>
      </c>
      <c r="C7" s="89">
        <v>0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91">
        <v>0</v>
      </c>
      <c r="L7" s="35"/>
      <c r="M7" s="35"/>
    </row>
    <row r="8" spans="2:13" x14ac:dyDescent="0.25">
      <c r="B8" s="18" t="s">
        <v>91</v>
      </c>
      <c r="C8" s="88">
        <f>C5+C6+C7</f>
        <v>1799.64</v>
      </c>
      <c r="D8" s="88">
        <f t="shared" ref="D8:J8" si="1">D5+D6+D7</f>
        <v>23815.49</v>
      </c>
      <c r="E8" s="88">
        <f t="shared" si="1"/>
        <v>7406.9400000000005</v>
      </c>
      <c r="F8" s="88">
        <f t="shared" si="1"/>
        <v>3047.93</v>
      </c>
      <c r="G8" s="88">
        <f t="shared" si="1"/>
        <v>2144.6600000000003</v>
      </c>
      <c r="H8" s="88">
        <f t="shared" si="1"/>
        <v>0</v>
      </c>
      <c r="I8" s="88">
        <f>I5+I6+I7</f>
        <v>38214.660000000003</v>
      </c>
      <c r="J8" s="92">
        <f t="shared" si="1"/>
        <v>38214.660000000003</v>
      </c>
      <c r="L8" s="35"/>
    </row>
    <row r="9" spans="2:13" x14ac:dyDescent="0.25">
      <c r="B9" s="16" t="s">
        <v>92</v>
      </c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91">
        <v>0</v>
      </c>
      <c r="L9" s="35"/>
    </row>
    <row r="10" spans="2:13" x14ac:dyDescent="0.25">
      <c r="B10" s="16" t="s">
        <v>93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f t="shared" ref="I10:I14" si="2">SUM(C10:H10)</f>
        <v>0</v>
      </c>
      <c r="J10" s="91">
        <v>0</v>
      </c>
      <c r="L10" s="35"/>
    </row>
    <row r="11" spans="2:13" x14ac:dyDescent="0.25">
      <c r="B11" s="16" t="s">
        <v>94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f t="shared" si="2"/>
        <v>0</v>
      </c>
      <c r="J11" s="91">
        <v>0</v>
      </c>
      <c r="L11" s="35"/>
    </row>
    <row r="12" spans="2:13" x14ac:dyDescent="0.25">
      <c r="B12" s="17" t="s">
        <v>95</v>
      </c>
      <c r="C12" s="89">
        <v>0</v>
      </c>
      <c r="D12" s="89">
        <v>0</v>
      </c>
      <c r="E12" s="89">
        <v>3047.93</v>
      </c>
      <c r="F12" s="89">
        <v>-3047.93</v>
      </c>
      <c r="G12" s="89">
        <v>0</v>
      </c>
      <c r="H12" s="89">
        <v>0</v>
      </c>
      <c r="I12" s="89">
        <f t="shared" si="2"/>
        <v>0</v>
      </c>
      <c r="J12" s="91">
        <f>I12</f>
        <v>0</v>
      </c>
      <c r="L12" s="35"/>
    </row>
    <row r="13" spans="2:13" x14ac:dyDescent="0.25">
      <c r="B13" s="16" t="s">
        <v>96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89">
        <f t="shared" si="2"/>
        <v>0</v>
      </c>
      <c r="J13" s="91">
        <v>0</v>
      </c>
    </row>
    <row r="14" spans="2:13" x14ac:dyDescent="0.25">
      <c r="B14" s="16" t="s">
        <v>97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1515.71</v>
      </c>
      <c r="I14" s="89">
        <f t="shared" si="2"/>
        <v>1515.71</v>
      </c>
      <c r="J14" s="91">
        <f>I14</f>
        <v>1515.71</v>
      </c>
    </row>
    <row r="15" spans="2:13" x14ac:dyDescent="0.25">
      <c r="B15" s="18" t="s">
        <v>143</v>
      </c>
      <c r="C15" s="88">
        <f>SUM(C8:C14)</f>
        <v>1799.64</v>
      </c>
      <c r="D15" s="88">
        <f t="shared" ref="D15:J15" si="3">SUM(D8:D14)</f>
        <v>23815.49</v>
      </c>
      <c r="E15" s="88">
        <f t="shared" si="3"/>
        <v>10454.870000000001</v>
      </c>
      <c r="F15" s="88">
        <f t="shared" si="3"/>
        <v>0</v>
      </c>
      <c r="G15" s="88">
        <f t="shared" si="3"/>
        <v>2144.6600000000003</v>
      </c>
      <c r="H15" s="88">
        <f t="shared" si="3"/>
        <v>1515.71</v>
      </c>
      <c r="I15" s="88">
        <f>SUM(I8:I14)</f>
        <v>39730.370000000003</v>
      </c>
      <c r="J15" s="92">
        <f t="shared" si="3"/>
        <v>39730.370000000003</v>
      </c>
      <c r="K15" s="35"/>
    </row>
    <row r="16" spans="2:13" ht="15" customHeight="1" x14ac:dyDescent="0.25">
      <c r="B16" s="197" t="s">
        <v>144</v>
      </c>
      <c r="C16" s="198"/>
      <c r="D16" s="198"/>
      <c r="E16" s="198"/>
      <c r="F16" s="198"/>
      <c r="G16" s="198"/>
      <c r="H16" s="198"/>
      <c r="I16" s="198"/>
      <c r="J16" s="199"/>
    </row>
    <row r="17" spans="2:11" x14ac:dyDescent="0.25">
      <c r="B17" s="18" t="s">
        <v>98</v>
      </c>
      <c r="C17" s="88">
        <v>1799.64</v>
      </c>
      <c r="D17" s="88">
        <v>23815.49</v>
      </c>
      <c r="E17" s="88">
        <f>7106+24.5</f>
        <v>7130.5</v>
      </c>
      <c r="F17" s="88">
        <v>0</v>
      </c>
      <c r="G17" s="88">
        <v>4226.3</v>
      </c>
      <c r="H17" s="88">
        <v>0</v>
      </c>
      <c r="I17" s="88">
        <f>SUM(C17:H17)</f>
        <v>36971.93</v>
      </c>
      <c r="J17" s="92">
        <f>I17</f>
        <v>36971.93</v>
      </c>
    </row>
    <row r="18" spans="2:11" x14ac:dyDescent="0.25">
      <c r="B18" s="16" t="s">
        <v>89</v>
      </c>
      <c r="C18" s="89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91">
        <f>I18</f>
        <v>0</v>
      </c>
    </row>
    <row r="19" spans="2:11" x14ac:dyDescent="0.25">
      <c r="B19" s="16" t="s">
        <v>90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91">
        <f>I19</f>
        <v>0</v>
      </c>
    </row>
    <row r="20" spans="2:11" x14ac:dyDescent="0.25">
      <c r="B20" s="18" t="s">
        <v>91</v>
      </c>
      <c r="C20" s="88">
        <f>C17+C19+C18</f>
        <v>1799.64</v>
      </c>
      <c r="D20" s="88">
        <f t="shared" ref="D20:I20" si="4">D17+D19+D18</f>
        <v>23815.49</v>
      </c>
      <c r="E20" s="88">
        <f t="shared" si="4"/>
        <v>7130.5</v>
      </c>
      <c r="F20" s="88">
        <f t="shared" si="4"/>
        <v>0</v>
      </c>
      <c r="G20" s="88">
        <f t="shared" si="4"/>
        <v>4226.3</v>
      </c>
      <c r="H20" s="88">
        <f t="shared" si="4"/>
        <v>0</v>
      </c>
      <c r="I20" s="88">
        <f t="shared" si="4"/>
        <v>36971.93</v>
      </c>
      <c r="J20" s="92">
        <f>J17+J19+J18</f>
        <v>36971.93</v>
      </c>
    </row>
    <row r="21" spans="2:11" x14ac:dyDescent="0.25">
      <c r="B21" s="16" t="s">
        <v>92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f>SUM(C21:H21)</f>
        <v>0</v>
      </c>
      <c r="J21" s="91">
        <f>I21</f>
        <v>0</v>
      </c>
    </row>
    <row r="22" spans="2:11" x14ac:dyDescent="0.25">
      <c r="B22" s="16" t="s">
        <v>93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f t="shared" ref="I22:I26" si="5">SUM(C22:H22)</f>
        <v>0</v>
      </c>
      <c r="J22" s="91">
        <f t="shared" ref="J22:J26" si="6">I22</f>
        <v>0</v>
      </c>
    </row>
    <row r="23" spans="2:11" x14ac:dyDescent="0.25">
      <c r="B23" s="16" t="s">
        <v>94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f t="shared" si="5"/>
        <v>0</v>
      </c>
      <c r="J23" s="91">
        <f t="shared" si="6"/>
        <v>0</v>
      </c>
    </row>
    <row r="24" spans="2:11" x14ac:dyDescent="0.25">
      <c r="B24" s="17" t="s">
        <v>95</v>
      </c>
      <c r="C24" s="89">
        <v>0</v>
      </c>
      <c r="D24" s="89">
        <v>0</v>
      </c>
      <c r="E24" s="89">
        <v>1397</v>
      </c>
      <c r="F24" s="89">
        <v>0</v>
      </c>
      <c r="G24" s="89">
        <v>-1397</v>
      </c>
      <c r="H24" s="89">
        <v>0</v>
      </c>
      <c r="I24" s="89">
        <f t="shared" si="5"/>
        <v>0</v>
      </c>
      <c r="J24" s="91">
        <f t="shared" si="6"/>
        <v>0</v>
      </c>
    </row>
    <row r="25" spans="2:11" x14ac:dyDescent="0.25">
      <c r="B25" s="16" t="s">
        <v>96</v>
      </c>
      <c r="C25" s="89">
        <v>0</v>
      </c>
      <c r="D25" s="89">
        <v>0</v>
      </c>
      <c r="E25" s="89">
        <v>-1115.1500000000001</v>
      </c>
      <c r="F25" s="89">
        <v>0</v>
      </c>
      <c r="G25" s="89">
        <v>-684.64</v>
      </c>
      <c r="H25" s="89">
        <v>0</v>
      </c>
      <c r="I25" s="89">
        <f t="shared" si="5"/>
        <v>-1799.79</v>
      </c>
      <c r="J25" s="91">
        <f t="shared" si="6"/>
        <v>-1799.79</v>
      </c>
    </row>
    <row r="26" spans="2:11" x14ac:dyDescent="0.25">
      <c r="B26" s="16" t="s">
        <v>97</v>
      </c>
      <c r="C26" s="89">
        <v>0</v>
      </c>
      <c r="D26" s="89">
        <v>0</v>
      </c>
      <c r="E26" s="89">
        <v>-5.41</v>
      </c>
      <c r="F26" s="89">
        <v>0</v>
      </c>
      <c r="G26" s="89">
        <v>0</v>
      </c>
      <c r="H26" s="89">
        <f>3047.93</f>
        <v>3047.93</v>
      </c>
      <c r="I26" s="89">
        <f t="shared" si="5"/>
        <v>3042.52</v>
      </c>
      <c r="J26" s="91">
        <f t="shared" si="6"/>
        <v>3042.52</v>
      </c>
    </row>
    <row r="27" spans="2:11" ht="15.75" thickBot="1" x14ac:dyDescent="0.3">
      <c r="B27" s="19" t="s">
        <v>145</v>
      </c>
      <c r="C27" s="90">
        <f>SUM(C20:C26)</f>
        <v>1799.64</v>
      </c>
      <c r="D27" s="90">
        <f t="shared" ref="D27:I27" si="7">SUM(D20:D26)</f>
        <v>23815.49</v>
      </c>
      <c r="E27" s="90">
        <f t="shared" si="7"/>
        <v>7406.9400000000005</v>
      </c>
      <c r="F27" s="90">
        <f t="shared" si="7"/>
        <v>0</v>
      </c>
      <c r="G27" s="90">
        <f t="shared" si="7"/>
        <v>2144.6600000000003</v>
      </c>
      <c r="H27" s="90">
        <f t="shared" si="7"/>
        <v>3047.93</v>
      </c>
      <c r="I27" s="90">
        <f t="shared" si="7"/>
        <v>38214.659999999996</v>
      </c>
      <c r="J27" s="93">
        <f>I27</f>
        <v>38214.659999999996</v>
      </c>
      <c r="K27" s="35"/>
    </row>
    <row r="28" spans="2:11" ht="15.75" thickTop="1" x14ac:dyDescent="0.25"/>
  </sheetData>
  <mergeCells count="3">
    <mergeCell ref="B4:J4"/>
    <mergeCell ref="B16:J16"/>
    <mergeCell ref="C2:J2"/>
  </mergeCells>
  <pageMargins left="0.11811023622047245" right="0.19685039370078741" top="0.74803149606299213" bottom="0.74803149606299213" header="0.31496062992125984" footer="0.31496062992125984"/>
  <pageSetup paperSize="9" orientation="landscape" r:id="rId1"/>
  <ignoredErrors>
    <ignoredError sqref="F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1"/>
  <sheetViews>
    <sheetView zoomScaleNormal="100" workbookViewId="0"/>
  </sheetViews>
  <sheetFormatPr defaultRowHeight="15" x14ac:dyDescent="0.25"/>
  <cols>
    <col min="2" max="2" width="50.7109375" customWidth="1"/>
    <col min="3" max="3" width="15" style="64" customWidth="1"/>
    <col min="4" max="4" width="15.42578125" style="64" customWidth="1"/>
    <col min="5" max="5" width="15.140625" style="64" customWidth="1"/>
    <col min="6" max="6" width="13.140625" style="64" customWidth="1"/>
    <col min="8" max="8" width="9.85546875" hidden="1" customWidth="1"/>
    <col min="9" max="9" width="9.140625" hidden="1" customWidth="1"/>
    <col min="10" max="10" width="9.85546875" hidden="1" customWidth="1"/>
    <col min="11" max="11" width="9.140625" hidden="1" customWidth="1"/>
    <col min="12" max="12" width="9.85546875" customWidth="1"/>
  </cols>
  <sheetData>
    <row r="1" spans="2:11" ht="15.75" thickBot="1" x14ac:dyDescent="0.3"/>
    <row r="2" spans="2:11" ht="16.5" thickTop="1" thickBot="1" x14ac:dyDescent="0.3">
      <c r="B2" s="49"/>
      <c r="C2" s="201" t="s">
        <v>29</v>
      </c>
      <c r="D2" s="202"/>
      <c r="E2" s="202"/>
      <c r="F2" s="203"/>
    </row>
    <row r="3" spans="2:11" ht="35.25" thickTop="1" thickBot="1" x14ac:dyDescent="0.3">
      <c r="B3" s="188"/>
      <c r="C3" s="9" t="s">
        <v>136</v>
      </c>
      <c r="D3" s="152" t="s">
        <v>137</v>
      </c>
      <c r="E3" s="150" t="s">
        <v>138</v>
      </c>
      <c r="F3" s="148" t="s">
        <v>139</v>
      </c>
      <c r="H3" s="97" t="s">
        <v>176</v>
      </c>
      <c r="I3" s="98" t="s">
        <v>177</v>
      </c>
      <c r="J3" s="97" t="s">
        <v>178</v>
      </c>
      <c r="K3" s="98" t="s">
        <v>179</v>
      </c>
    </row>
    <row r="4" spans="2:11" ht="15.75" thickTop="1" x14ac:dyDescent="0.25">
      <c r="B4" s="50" t="s">
        <v>131</v>
      </c>
      <c r="C4" s="51"/>
      <c r="D4" s="183"/>
      <c r="E4" s="175"/>
      <c r="F4" s="94"/>
      <c r="H4" s="99"/>
      <c r="I4" s="100"/>
      <c r="J4" s="99"/>
      <c r="K4" s="100"/>
    </row>
    <row r="5" spans="2:11" x14ac:dyDescent="0.25">
      <c r="B5" s="52" t="s">
        <v>146</v>
      </c>
      <c r="C5" s="164">
        <v>372.26</v>
      </c>
      <c r="D5" s="184">
        <v>217.7</v>
      </c>
      <c r="E5" s="176">
        <f>2211.7-700</f>
        <v>1511.6999999999998</v>
      </c>
      <c r="F5" s="165">
        <v>2911.65</v>
      </c>
      <c r="H5" s="101">
        <v>1139.44</v>
      </c>
      <c r="I5" s="102">
        <f>E5-H5</f>
        <v>372.25999999999976</v>
      </c>
      <c r="J5" s="101">
        <v>2693.95</v>
      </c>
      <c r="K5" s="102">
        <f>F5-J5</f>
        <v>217.70000000000027</v>
      </c>
    </row>
    <row r="6" spans="2:11" x14ac:dyDescent="0.25">
      <c r="B6" s="52" t="s">
        <v>147</v>
      </c>
      <c r="C6" s="164">
        <f>SUM(C7:C16)</f>
        <v>1170.77</v>
      </c>
      <c r="D6" s="184">
        <f t="shared" ref="D6:E6" si="0">SUM(D7:D16)</f>
        <v>3100.66</v>
      </c>
      <c r="E6" s="164">
        <f t="shared" si="0"/>
        <v>4069.87</v>
      </c>
      <c r="F6" s="184">
        <f>SUM(F7:F16)</f>
        <v>934.23000000000059</v>
      </c>
      <c r="G6" s="95"/>
      <c r="H6" s="103">
        <f>SUM(H7:H16)</f>
        <v>2899.1000000000004</v>
      </c>
      <c r="I6" s="102">
        <f t="shared" ref="I6:I39" si="1">E6-H6</f>
        <v>1170.7699999999995</v>
      </c>
      <c r="J6" s="103">
        <f>SUM(J7:J16)</f>
        <v>-2166.4300000000003</v>
      </c>
      <c r="K6" s="102">
        <f t="shared" ref="K6:K39" si="2">F6-J6</f>
        <v>3100.6600000000008</v>
      </c>
    </row>
    <row r="7" spans="2:11" ht="22.5" x14ac:dyDescent="0.25">
      <c r="B7" s="53" t="s">
        <v>148</v>
      </c>
      <c r="C7" s="166">
        <v>803.83</v>
      </c>
      <c r="D7" s="185">
        <v>824.40999999999985</v>
      </c>
      <c r="E7" s="176">
        <v>3146.23</v>
      </c>
      <c r="F7" s="167">
        <v>3275.16</v>
      </c>
      <c r="G7" s="54"/>
      <c r="H7" s="104">
        <v>2342.4</v>
      </c>
      <c r="I7" s="102">
        <f t="shared" si="1"/>
        <v>803.82999999999993</v>
      </c>
      <c r="J7" s="104">
        <v>2450.75</v>
      </c>
      <c r="K7" s="102">
        <f t="shared" si="2"/>
        <v>824.40999999999985</v>
      </c>
    </row>
    <row r="8" spans="2:11" x14ac:dyDescent="0.25">
      <c r="B8" s="53" t="s">
        <v>149</v>
      </c>
      <c r="C8" s="166">
        <v>89.99</v>
      </c>
      <c r="D8" s="185">
        <v>-123.24000000000001</v>
      </c>
      <c r="E8" s="176">
        <v>193.25</v>
      </c>
      <c r="F8" s="165">
        <v>-529.64</v>
      </c>
      <c r="H8" s="105">
        <v>103.26</v>
      </c>
      <c r="I8" s="102">
        <f t="shared" si="1"/>
        <v>89.99</v>
      </c>
      <c r="J8" s="105">
        <v>-406.4</v>
      </c>
      <c r="K8" s="102">
        <f t="shared" si="2"/>
        <v>-123.24000000000001</v>
      </c>
    </row>
    <row r="9" spans="2:11" x14ac:dyDescent="0.25">
      <c r="B9" s="53" t="s">
        <v>150</v>
      </c>
      <c r="C9" s="166">
        <v>755.73</v>
      </c>
      <c r="D9" s="185">
        <v>2786.23</v>
      </c>
      <c r="E9" s="176">
        <v>755.73</v>
      </c>
      <c r="F9" s="165">
        <v>986.59</v>
      </c>
      <c r="H9" s="105">
        <v>0</v>
      </c>
      <c r="I9" s="102">
        <f t="shared" si="1"/>
        <v>755.73</v>
      </c>
      <c r="J9" s="105">
        <v>-1799.64</v>
      </c>
      <c r="K9" s="102">
        <f t="shared" si="2"/>
        <v>2786.23</v>
      </c>
    </row>
    <row r="10" spans="2:11" x14ac:dyDescent="0.25">
      <c r="B10" s="53" t="s">
        <v>151</v>
      </c>
      <c r="C10" s="166">
        <v>0</v>
      </c>
      <c r="D10" s="185">
        <v>-52.040000000000006</v>
      </c>
      <c r="E10" s="176">
        <v>0</v>
      </c>
      <c r="F10" s="165">
        <v>-67.040000000000006</v>
      </c>
      <c r="H10" s="105">
        <v>0</v>
      </c>
      <c r="I10" s="102">
        <f t="shared" si="1"/>
        <v>0</v>
      </c>
      <c r="J10" s="105">
        <v>-15</v>
      </c>
      <c r="K10" s="102">
        <f t="shared" si="2"/>
        <v>-52.040000000000006</v>
      </c>
    </row>
    <row r="11" spans="2:11" x14ac:dyDescent="0.25">
      <c r="B11" s="53" t="s">
        <v>152</v>
      </c>
      <c r="C11" s="166">
        <v>58.980000000000018</v>
      </c>
      <c r="D11" s="185">
        <v>206.90000000000003</v>
      </c>
      <c r="E11" s="176">
        <v>517.26</v>
      </c>
      <c r="F11" s="165">
        <v>560.96</v>
      </c>
      <c r="H11" s="105">
        <v>458.28</v>
      </c>
      <c r="I11" s="102">
        <f t="shared" si="1"/>
        <v>58.980000000000018</v>
      </c>
      <c r="J11" s="105">
        <v>354.06</v>
      </c>
      <c r="K11" s="102">
        <f t="shared" si="2"/>
        <v>206.90000000000003</v>
      </c>
    </row>
    <row r="12" spans="2:11" x14ac:dyDescent="0.25">
      <c r="B12" s="53" t="s">
        <v>153</v>
      </c>
      <c r="C12" s="166">
        <v>216.87000000000035</v>
      </c>
      <c r="D12" s="185">
        <v>1164.7599999999998</v>
      </c>
      <c r="E12" s="176">
        <v>-3440.2</v>
      </c>
      <c r="F12" s="165">
        <v>-3082.11</v>
      </c>
      <c r="H12" s="105">
        <v>-3657.07</v>
      </c>
      <c r="I12" s="102">
        <f t="shared" si="1"/>
        <v>216.87000000000035</v>
      </c>
      <c r="J12" s="105">
        <v>-4246.87</v>
      </c>
      <c r="K12" s="102">
        <f t="shared" si="2"/>
        <v>1164.7599999999998</v>
      </c>
    </row>
    <row r="13" spans="2:11" x14ac:dyDescent="0.25">
      <c r="B13" s="53" t="s">
        <v>154</v>
      </c>
      <c r="C13" s="166">
        <v>3010.24</v>
      </c>
      <c r="D13" s="185">
        <v>-1908.21</v>
      </c>
      <c r="E13" s="176">
        <v>2292.4899999999998</v>
      </c>
      <c r="F13" s="165">
        <v>-1114.79</v>
      </c>
      <c r="H13" s="105">
        <v>-717.75</v>
      </c>
      <c r="I13" s="102">
        <f t="shared" si="1"/>
        <v>3010.24</v>
      </c>
      <c r="J13" s="105">
        <v>793.42</v>
      </c>
      <c r="K13" s="102">
        <f t="shared" si="2"/>
        <v>-1908.21</v>
      </c>
    </row>
    <row r="14" spans="2:11" ht="22.5" x14ac:dyDescent="0.25">
      <c r="B14" s="53" t="s">
        <v>155</v>
      </c>
      <c r="C14" s="166">
        <v>-2883.6000000000004</v>
      </c>
      <c r="D14" s="185">
        <v>212.30999999999995</v>
      </c>
      <c r="E14" s="176">
        <v>2231.4899999999998</v>
      </c>
      <c r="F14" s="165">
        <v>1455.25</v>
      </c>
      <c r="H14" s="105">
        <v>5115.09</v>
      </c>
      <c r="I14" s="102">
        <f t="shared" si="1"/>
        <v>-2883.6000000000004</v>
      </c>
      <c r="J14" s="105">
        <v>1242.94</v>
      </c>
      <c r="K14" s="102">
        <f t="shared" si="2"/>
        <v>212.30999999999995</v>
      </c>
    </row>
    <row r="15" spans="2:11" x14ac:dyDescent="0.25">
      <c r="B15" s="53" t="s">
        <v>156</v>
      </c>
      <c r="C15" s="166">
        <v>-881.2700000000001</v>
      </c>
      <c r="D15" s="185">
        <v>49.279999999999973</v>
      </c>
      <c r="E15" s="176">
        <v>-1626.38</v>
      </c>
      <c r="F15" s="165">
        <v>-550.15</v>
      </c>
      <c r="H15" s="105">
        <v>-745.11</v>
      </c>
      <c r="I15" s="102">
        <f t="shared" si="1"/>
        <v>-881.2700000000001</v>
      </c>
      <c r="J15" s="105">
        <v>-599.42999999999995</v>
      </c>
      <c r="K15" s="102">
        <f t="shared" si="2"/>
        <v>49.279999999999973</v>
      </c>
    </row>
    <row r="16" spans="2:11" x14ac:dyDescent="0.25">
      <c r="B16" s="53" t="s">
        <v>157</v>
      </c>
      <c r="C16" s="166">
        <v>0</v>
      </c>
      <c r="D16" s="185">
        <v>-59.74</v>
      </c>
      <c r="E16" s="176">
        <v>0</v>
      </c>
      <c r="F16" s="165">
        <v>0</v>
      </c>
      <c r="H16" s="105">
        <v>0</v>
      </c>
      <c r="I16" s="102">
        <f t="shared" si="1"/>
        <v>0</v>
      </c>
      <c r="J16" s="105">
        <v>59.74</v>
      </c>
      <c r="K16" s="102">
        <f t="shared" si="2"/>
        <v>-59.74</v>
      </c>
    </row>
    <row r="17" spans="2:12" ht="22.5" x14ac:dyDescent="0.25">
      <c r="B17" s="55" t="s">
        <v>158</v>
      </c>
      <c r="C17" s="168">
        <f t="shared" ref="C17:D17" si="3">C5+C6</f>
        <v>1543.03</v>
      </c>
      <c r="D17" s="186">
        <f t="shared" si="3"/>
        <v>3318.3599999999997</v>
      </c>
      <c r="E17" s="168">
        <f>E5+E6</f>
        <v>5581.57</v>
      </c>
      <c r="F17" s="186">
        <f>F5+F6</f>
        <v>3845.8800000000006</v>
      </c>
      <c r="H17" s="106">
        <f>H5+H6</f>
        <v>4038.5400000000004</v>
      </c>
      <c r="I17" s="102">
        <f t="shared" si="1"/>
        <v>1543.0299999999993</v>
      </c>
      <c r="J17" s="106">
        <f>J5+J6</f>
        <v>527.51999999999953</v>
      </c>
      <c r="K17" s="102">
        <f t="shared" si="2"/>
        <v>3318.360000000001</v>
      </c>
      <c r="L17" s="96"/>
    </row>
    <row r="18" spans="2:12" x14ac:dyDescent="0.25">
      <c r="B18" s="50" t="s">
        <v>132</v>
      </c>
      <c r="C18" s="168"/>
      <c r="D18" s="186"/>
      <c r="E18" s="177"/>
      <c r="F18" s="169"/>
      <c r="H18" s="107"/>
      <c r="I18" s="102">
        <f t="shared" si="1"/>
        <v>0</v>
      </c>
      <c r="J18" s="107"/>
      <c r="K18" s="102">
        <f t="shared" si="2"/>
        <v>0</v>
      </c>
    </row>
    <row r="19" spans="2:12" x14ac:dyDescent="0.25">
      <c r="B19" s="52" t="s">
        <v>133</v>
      </c>
      <c r="C19" s="164">
        <v>0</v>
      </c>
      <c r="D19" s="184">
        <v>104.53</v>
      </c>
      <c r="E19" s="164">
        <f>E20+E21+E22+E23</f>
        <v>26.47</v>
      </c>
      <c r="F19" s="184">
        <f>F20+F21+F22+F23</f>
        <v>119.3</v>
      </c>
      <c r="H19" s="103">
        <f>H20+H21+H22+H23</f>
        <v>26.47</v>
      </c>
      <c r="I19" s="102">
        <f t="shared" si="1"/>
        <v>0</v>
      </c>
      <c r="J19" s="103">
        <f>J20+J21+J22+J23</f>
        <v>14.77</v>
      </c>
      <c r="K19" s="102">
        <f t="shared" si="2"/>
        <v>104.53</v>
      </c>
    </row>
    <row r="20" spans="2:12" ht="22.5" x14ac:dyDescent="0.25">
      <c r="B20" s="53" t="s">
        <v>159</v>
      </c>
      <c r="C20" s="166">
        <v>0</v>
      </c>
      <c r="D20" s="185">
        <v>104.53</v>
      </c>
      <c r="E20" s="176">
        <v>26.47</v>
      </c>
      <c r="F20" s="165">
        <v>119.3</v>
      </c>
      <c r="H20" s="108">
        <v>26.47</v>
      </c>
      <c r="I20" s="102">
        <f t="shared" si="1"/>
        <v>0</v>
      </c>
      <c r="J20" s="108">
        <v>14.77</v>
      </c>
      <c r="K20" s="102">
        <f t="shared" si="2"/>
        <v>104.53</v>
      </c>
    </row>
    <row r="21" spans="2:12" ht="22.5" x14ac:dyDescent="0.25">
      <c r="B21" s="53" t="s">
        <v>160</v>
      </c>
      <c r="C21" s="166">
        <v>0</v>
      </c>
      <c r="D21" s="185">
        <v>0</v>
      </c>
      <c r="E21" s="176">
        <v>0</v>
      </c>
      <c r="F21" s="165">
        <v>0</v>
      </c>
      <c r="H21" s="108">
        <v>0</v>
      </c>
      <c r="I21" s="102">
        <f t="shared" si="1"/>
        <v>0</v>
      </c>
      <c r="J21" s="108">
        <v>0</v>
      </c>
      <c r="K21" s="102">
        <f t="shared" si="2"/>
        <v>0</v>
      </c>
    </row>
    <row r="22" spans="2:12" x14ac:dyDescent="0.25">
      <c r="B22" s="53" t="s">
        <v>161</v>
      </c>
      <c r="C22" s="166">
        <v>0</v>
      </c>
      <c r="D22" s="185">
        <v>0</v>
      </c>
      <c r="E22" s="176">
        <v>0</v>
      </c>
      <c r="F22" s="165">
        <v>0</v>
      </c>
      <c r="H22" s="108">
        <v>0</v>
      </c>
      <c r="I22" s="102">
        <f t="shared" si="1"/>
        <v>0</v>
      </c>
      <c r="J22" s="108">
        <v>0</v>
      </c>
      <c r="K22" s="102">
        <f t="shared" si="2"/>
        <v>0</v>
      </c>
    </row>
    <row r="23" spans="2:12" x14ac:dyDescent="0.25">
      <c r="B23" s="53" t="s">
        <v>162</v>
      </c>
      <c r="C23" s="166">
        <v>0</v>
      </c>
      <c r="D23" s="185">
        <v>0</v>
      </c>
      <c r="E23" s="176">
        <v>0</v>
      </c>
      <c r="F23" s="165">
        <v>0</v>
      </c>
      <c r="H23" s="108">
        <v>0</v>
      </c>
      <c r="I23" s="102">
        <f t="shared" si="1"/>
        <v>0</v>
      </c>
      <c r="J23" s="108">
        <v>0</v>
      </c>
      <c r="K23" s="102">
        <f t="shared" si="2"/>
        <v>0</v>
      </c>
    </row>
    <row r="24" spans="2:12" x14ac:dyDescent="0.25">
      <c r="B24" s="52" t="s">
        <v>134</v>
      </c>
      <c r="C24" s="164">
        <v>623.77999999999975</v>
      </c>
      <c r="D24" s="184">
        <f>D25+D26+D27+D28</f>
        <v>266.40000000000003</v>
      </c>
      <c r="E24" s="164">
        <f>E25+E26+E27+E28</f>
        <v>3581.02</v>
      </c>
      <c r="F24" s="184">
        <f>F25+F26+F27+F28</f>
        <v>2209.27</v>
      </c>
      <c r="H24" s="103">
        <f>H25+H26+H27+H28</f>
        <v>2957.2400000000002</v>
      </c>
      <c r="I24" s="102">
        <f t="shared" si="1"/>
        <v>623.77999999999975</v>
      </c>
      <c r="J24" s="103">
        <f>J25+J26+J27+J28</f>
        <v>1936.23</v>
      </c>
      <c r="K24" s="102">
        <f t="shared" si="2"/>
        <v>273.03999999999996</v>
      </c>
    </row>
    <row r="25" spans="2:12" ht="22.5" x14ac:dyDescent="0.25">
      <c r="B25" s="53" t="s">
        <v>163</v>
      </c>
      <c r="C25" s="166">
        <v>359.02</v>
      </c>
      <c r="D25" s="185">
        <f>480.68-6.64</f>
        <v>474.04</v>
      </c>
      <c r="E25" s="176">
        <v>2591.94</v>
      </c>
      <c r="F25" s="165">
        <v>2209.27</v>
      </c>
      <c r="H25" s="108">
        <v>2232.92</v>
      </c>
      <c r="I25" s="102">
        <f t="shared" si="1"/>
        <v>359.02</v>
      </c>
      <c r="J25" s="108">
        <v>1728.59</v>
      </c>
      <c r="K25" s="102">
        <f t="shared" si="2"/>
        <v>480.68000000000006</v>
      </c>
    </row>
    <row r="26" spans="2:12" ht="22.5" x14ac:dyDescent="0.25">
      <c r="B26" s="53" t="s">
        <v>164</v>
      </c>
      <c r="C26" s="166">
        <v>0</v>
      </c>
      <c r="D26" s="185">
        <v>0</v>
      </c>
      <c r="E26" s="176">
        <v>0</v>
      </c>
      <c r="F26" s="165">
        <v>0</v>
      </c>
      <c r="H26" s="108">
        <v>0</v>
      </c>
      <c r="I26" s="102">
        <f t="shared" si="1"/>
        <v>0</v>
      </c>
      <c r="J26" s="108">
        <v>0</v>
      </c>
      <c r="K26" s="102">
        <f t="shared" si="2"/>
        <v>0</v>
      </c>
    </row>
    <row r="27" spans="2:12" x14ac:dyDescent="0.25">
      <c r="B27" s="53" t="s">
        <v>180</v>
      </c>
      <c r="C27" s="166">
        <v>264.76</v>
      </c>
      <c r="D27" s="185">
        <v>-207.64</v>
      </c>
      <c r="E27" s="178">
        <v>989.08</v>
      </c>
      <c r="F27" s="170">
        <v>0</v>
      </c>
      <c r="H27" s="109">
        <v>724.32</v>
      </c>
      <c r="I27" s="102">
        <f t="shared" si="1"/>
        <v>264.76</v>
      </c>
      <c r="J27" s="109">
        <v>207.64</v>
      </c>
      <c r="K27" s="102">
        <f t="shared" si="2"/>
        <v>-207.64</v>
      </c>
    </row>
    <row r="28" spans="2:12" x14ac:dyDescent="0.25">
      <c r="B28" s="53" t="s">
        <v>165</v>
      </c>
      <c r="C28" s="166">
        <v>0</v>
      </c>
      <c r="D28" s="185">
        <v>0</v>
      </c>
      <c r="E28" s="178">
        <v>0</v>
      </c>
      <c r="F28" s="170">
        <v>0</v>
      </c>
      <c r="H28" s="109">
        <v>0</v>
      </c>
      <c r="I28" s="102">
        <f t="shared" si="1"/>
        <v>0</v>
      </c>
      <c r="J28" s="109">
        <v>0</v>
      </c>
      <c r="K28" s="102">
        <f t="shared" si="2"/>
        <v>0</v>
      </c>
    </row>
    <row r="29" spans="2:12" ht="22.5" x14ac:dyDescent="0.25">
      <c r="B29" s="55" t="s">
        <v>166</v>
      </c>
      <c r="C29" s="168">
        <f>C19-C24</f>
        <v>-623.77999999999975</v>
      </c>
      <c r="D29" s="186">
        <f>D19-D24</f>
        <v>-161.87000000000003</v>
      </c>
      <c r="E29" s="168">
        <f>E19-E24</f>
        <v>-3554.55</v>
      </c>
      <c r="F29" s="186">
        <f>F19-F24</f>
        <v>-2089.9699999999998</v>
      </c>
      <c r="H29" s="106">
        <f>H19-H24</f>
        <v>-2930.7700000000004</v>
      </c>
      <c r="I29" s="102">
        <f t="shared" si="1"/>
        <v>-623.77999999999975</v>
      </c>
      <c r="J29" s="106">
        <f>J19-J24</f>
        <v>-1921.46</v>
      </c>
      <c r="K29" s="102">
        <f t="shared" si="2"/>
        <v>-168.50999999999976</v>
      </c>
    </row>
    <row r="30" spans="2:12" x14ac:dyDescent="0.25">
      <c r="B30" s="50" t="s">
        <v>135</v>
      </c>
      <c r="C30" s="168"/>
      <c r="D30" s="186"/>
      <c r="E30" s="179"/>
      <c r="F30" s="171"/>
      <c r="H30" s="110"/>
      <c r="I30" s="102">
        <f t="shared" si="1"/>
        <v>0</v>
      </c>
      <c r="J30" s="110"/>
      <c r="K30" s="102">
        <f t="shared" si="2"/>
        <v>0</v>
      </c>
    </row>
    <row r="31" spans="2:12" x14ac:dyDescent="0.25">
      <c r="B31" s="52" t="s">
        <v>133</v>
      </c>
      <c r="C31" s="164">
        <f>1900.87+13.39</f>
        <v>1914.26</v>
      </c>
      <c r="D31" s="185">
        <v>1824.5699999999997</v>
      </c>
      <c r="E31" s="176">
        <v>3113.27</v>
      </c>
      <c r="F31" s="165">
        <v>5079.74</v>
      </c>
      <c r="H31" s="108">
        <v>1212.4000000000001</v>
      </c>
      <c r="I31" s="102">
        <f t="shared" si="1"/>
        <v>1900.87</v>
      </c>
      <c r="J31" s="108">
        <v>3255.17</v>
      </c>
      <c r="K31" s="102">
        <f t="shared" si="2"/>
        <v>1824.5699999999997</v>
      </c>
    </row>
    <row r="32" spans="2:12" x14ac:dyDescent="0.25">
      <c r="B32" s="52" t="s">
        <v>134</v>
      </c>
      <c r="C32" s="164">
        <v>156.17000000000007</v>
      </c>
      <c r="D32" s="185">
        <v>4091.8399999999997</v>
      </c>
      <c r="E32" s="176">
        <v>2737.12</v>
      </c>
      <c r="F32" s="165">
        <v>6615.32</v>
      </c>
      <c r="H32" s="108">
        <v>2580.9499999999998</v>
      </c>
      <c r="I32" s="102">
        <f t="shared" si="1"/>
        <v>156.17000000000007</v>
      </c>
      <c r="J32" s="108">
        <v>2523.48</v>
      </c>
      <c r="K32" s="102">
        <f t="shared" si="2"/>
        <v>4091.8399999999997</v>
      </c>
    </row>
    <row r="33" spans="2:11" x14ac:dyDescent="0.25">
      <c r="B33" s="55" t="s">
        <v>167</v>
      </c>
      <c r="C33" s="168">
        <f>C31-C32</f>
        <v>1758.09</v>
      </c>
      <c r="D33" s="186">
        <f t="shared" ref="D33:F33" si="4">D31-D32</f>
        <v>-2267.27</v>
      </c>
      <c r="E33" s="168">
        <f t="shared" si="4"/>
        <v>376.15000000000009</v>
      </c>
      <c r="F33" s="186">
        <f t="shared" si="4"/>
        <v>-1535.58</v>
      </c>
      <c r="H33" s="106">
        <f t="shared" ref="H33:J33" si="5">H31-H32</f>
        <v>-1368.5499999999997</v>
      </c>
      <c r="I33" s="102">
        <f t="shared" si="1"/>
        <v>1744.6999999999998</v>
      </c>
      <c r="J33" s="106">
        <f t="shared" si="5"/>
        <v>731.69</v>
      </c>
      <c r="K33" s="102">
        <f t="shared" si="2"/>
        <v>-2267.27</v>
      </c>
    </row>
    <row r="34" spans="2:11" x14ac:dyDescent="0.25">
      <c r="B34" s="50" t="s">
        <v>168</v>
      </c>
      <c r="C34" s="168">
        <f>C33+C29+C17</f>
        <v>2677.34</v>
      </c>
      <c r="D34" s="186">
        <f>D33+D29+D17</f>
        <v>889.2199999999998</v>
      </c>
      <c r="E34" s="168">
        <f>E33+E29+E17</f>
        <v>2403.1699999999996</v>
      </c>
      <c r="F34" s="186">
        <f>F33+F29+F17</f>
        <v>220.33000000000084</v>
      </c>
      <c r="H34" s="111">
        <f>H33+H29+H17</f>
        <v>-260.77999999999929</v>
      </c>
      <c r="I34" s="102">
        <f t="shared" si="1"/>
        <v>2663.9499999999989</v>
      </c>
      <c r="J34" s="111">
        <f>J33+J29+J17</f>
        <v>-662.25000000000045</v>
      </c>
      <c r="K34" s="102">
        <f t="shared" si="2"/>
        <v>882.58000000000129</v>
      </c>
    </row>
    <row r="35" spans="2:11" x14ac:dyDescent="0.25">
      <c r="B35" s="50" t="s">
        <v>169</v>
      </c>
      <c r="C35" s="172">
        <f>C38-C37</f>
        <v>2677.34</v>
      </c>
      <c r="D35" s="172">
        <f>D38-D37</f>
        <v>889.22</v>
      </c>
      <c r="E35" s="180">
        <f>E38-E37</f>
        <v>2403.17</v>
      </c>
      <c r="F35" s="172">
        <f>F38-F37</f>
        <v>220.32999999999993</v>
      </c>
      <c r="G35" s="96"/>
      <c r="H35" s="112">
        <f>H38-H37</f>
        <v>74.960000000000036</v>
      </c>
      <c r="I35" s="102">
        <f t="shared" si="1"/>
        <v>2328.21</v>
      </c>
      <c r="J35" s="112">
        <f>J38-J37</f>
        <v>-662.25</v>
      </c>
      <c r="K35" s="102">
        <f t="shared" si="2"/>
        <v>882.57999999999993</v>
      </c>
    </row>
    <row r="36" spans="2:11" ht="22.5" x14ac:dyDescent="0.25">
      <c r="B36" s="56" t="s">
        <v>170</v>
      </c>
      <c r="C36" s="166">
        <v>0</v>
      </c>
      <c r="D36" s="185">
        <v>0</v>
      </c>
      <c r="E36" s="176">
        <v>0</v>
      </c>
      <c r="F36" s="165">
        <v>0</v>
      </c>
      <c r="H36" s="108">
        <v>0</v>
      </c>
      <c r="I36" s="102">
        <f t="shared" si="1"/>
        <v>0</v>
      </c>
      <c r="J36" s="108">
        <v>0</v>
      </c>
      <c r="K36" s="102">
        <f t="shared" si="2"/>
        <v>0</v>
      </c>
    </row>
    <row r="37" spans="2:11" x14ac:dyDescent="0.25">
      <c r="B37" s="50" t="s">
        <v>130</v>
      </c>
      <c r="C37" s="168">
        <v>964.87</v>
      </c>
      <c r="D37" s="172">
        <v>435.84</v>
      </c>
      <c r="E37" s="181">
        <v>1239.04</v>
      </c>
      <c r="F37" s="172">
        <v>1104.73</v>
      </c>
      <c r="H37" s="112">
        <v>889.91</v>
      </c>
      <c r="I37" s="102">
        <f t="shared" si="1"/>
        <v>349.13</v>
      </c>
      <c r="J37" s="112">
        <v>1098.0899999999999</v>
      </c>
      <c r="K37" s="102">
        <f t="shared" si="2"/>
        <v>6.6400000000001</v>
      </c>
    </row>
    <row r="38" spans="2:11" x14ac:dyDescent="0.25">
      <c r="B38" s="50" t="s">
        <v>171</v>
      </c>
      <c r="C38" s="168">
        <v>3642.21</v>
      </c>
      <c r="D38" s="172">
        <v>1325.06</v>
      </c>
      <c r="E38" s="181">
        <v>3642.21</v>
      </c>
      <c r="F38" s="172">
        <f>1324.31+0.75</f>
        <v>1325.06</v>
      </c>
      <c r="H38" s="112">
        <v>964.87</v>
      </c>
      <c r="I38" s="102">
        <f t="shared" si="1"/>
        <v>2677.34</v>
      </c>
      <c r="J38" s="112">
        <v>435.84</v>
      </c>
      <c r="K38" s="102">
        <f t="shared" si="2"/>
        <v>889.22</v>
      </c>
    </row>
    <row r="39" spans="2:11" ht="15.75" thickBot="1" x14ac:dyDescent="0.3">
      <c r="B39" s="57" t="s">
        <v>172</v>
      </c>
      <c r="C39" s="173">
        <v>0</v>
      </c>
      <c r="D39" s="187">
        <v>0</v>
      </c>
      <c r="E39" s="182">
        <v>0</v>
      </c>
      <c r="F39" s="174">
        <v>0</v>
      </c>
      <c r="H39" s="113">
        <v>0</v>
      </c>
      <c r="I39" s="102">
        <f t="shared" si="1"/>
        <v>0</v>
      </c>
      <c r="J39" s="113">
        <v>0</v>
      </c>
      <c r="K39" s="102">
        <f t="shared" si="2"/>
        <v>0</v>
      </c>
    </row>
    <row r="40" spans="2:11" ht="15.75" thickTop="1" x14ac:dyDescent="0.25">
      <c r="H40" s="47"/>
      <c r="J40" s="47"/>
    </row>
    <row r="41" spans="2:11" x14ac:dyDescent="0.25">
      <c r="C41" s="114"/>
      <c r="D41" s="114"/>
      <c r="E41" s="114"/>
    </row>
  </sheetData>
  <mergeCells count="1">
    <mergeCell ref="C2:F2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workbookViewId="0"/>
  </sheetViews>
  <sheetFormatPr defaultRowHeight="15" x14ac:dyDescent="0.25"/>
  <cols>
    <col min="2" max="2" width="39.28515625" customWidth="1"/>
    <col min="3" max="12" width="10.140625" customWidth="1"/>
  </cols>
  <sheetData>
    <row r="2" spans="2:13" ht="15.75" thickBot="1" x14ac:dyDescent="0.3"/>
    <row r="3" spans="2:13" ht="15.75" thickTop="1" x14ac:dyDescent="0.25">
      <c r="B3" s="204"/>
      <c r="C3" s="123" t="s">
        <v>173</v>
      </c>
      <c r="D3" s="123" t="s">
        <v>173</v>
      </c>
      <c r="E3" s="123" t="s">
        <v>173</v>
      </c>
      <c r="F3" s="123" t="s">
        <v>173</v>
      </c>
      <c r="G3" s="206" t="s">
        <v>99</v>
      </c>
      <c r="H3" s="124" t="s">
        <v>174</v>
      </c>
      <c r="I3" s="124" t="s">
        <v>174</v>
      </c>
      <c r="J3" s="124" t="s">
        <v>174</v>
      </c>
      <c r="K3" s="124" t="s">
        <v>174</v>
      </c>
      <c r="L3" s="206" t="s">
        <v>99</v>
      </c>
    </row>
    <row r="4" spans="2:13" x14ac:dyDescent="0.25">
      <c r="B4" s="205"/>
      <c r="C4" s="20" t="s">
        <v>100</v>
      </c>
      <c r="D4" s="20" t="s">
        <v>101</v>
      </c>
      <c r="E4" s="21" t="s">
        <v>102</v>
      </c>
      <c r="F4" s="20" t="s">
        <v>103</v>
      </c>
      <c r="G4" s="207"/>
      <c r="H4" s="21" t="s">
        <v>100</v>
      </c>
      <c r="I4" s="20" t="s">
        <v>101</v>
      </c>
      <c r="J4" s="20" t="s">
        <v>102</v>
      </c>
      <c r="K4" s="20" t="s">
        <v>103</v>
      </c>
      <c r="L4" s="207"/>
    </row>
    <row r="5" spans="2:13" x14ac:dyDescent="0.25">
      <c r="B5" s="125" t="s">
        <v>0</v>
      </c>
      <c r="C5" s="115">
        <v>30846.51</v>
      </c>
      <c r="D5" s="115">
        <v>31495.27</v>
      </c>
      <c r="E5" s="117">
        <f>C5/'Kursy walut'!$D$6</f>
        <v>7389.2705713259065</v>
      </c>
      <c r="F5" s="115">
        <f>D5/'Kursy walut'!$D$5</f>
        <v>7663.2691792987671</v>
      </c>
      <c r="G5" s="131">
        <f>(C5/D5)*100</f>
        <v>97.940135137752421</v>
      </c>
      <c r="H5" s="117">
        <v>102758.49</v>
      </c>
      <c r="I5" s="115">
        <v>101964.93</v>
      </c>
      <c r="J5" s="115">
        <f>H5/'Kursy walut'!$E$6</f>
        <v>24402.396105438136</v>
      </c>
      <c r="K5" s="115">
        <f>I5/'Kursy walut'!$E$5</f>
        <v>24430.930132259917</v>
      </c>
      <c r="L5" s="126">
        <f>(H5/I5)*100</f>
        <v>100.77826758670849</v>
      </c>
    </row>
    <row r="6" spans="2:13" x14ac:dyDescent="0.25">
      <c r="B6" s="127" t="s">
        <v>104</v>
      </c>
      <c r="C6" s="116">
        <v>803.82999999999993</v>
      </c>
      <c r="D6" s="116">
        <v>824.40999999999985</v>
      </c>
      <c r="E6" s="118">
        <f>C6/'Kursy walut'!$D$6</f>
        <v>192.55719247814108</v>
      </c>
      <c r="F6" s="116">
        <f>D6/'Kursy walut'!$D$5</f>
        <v>200.59125526168518</v>
      </c>
      <c r="G6" s="132">
        <f t="shared" ref="G6:G13" si="0">(C6/D6)*100</f>
        <v>97.503669290765529</v>
      </c>
      <c r="H6" s="118">
        <v>3146.23</v>
      </c>
      <c r="I6" s="116">
        <v>3275.16</v>
      </c>
      <c r="J6" s="116">
        <f>H6/'Kursy walut'!$E$6</f>
        <v>747.1455711232486</v>
      </c>
      <c r="K6" s="116">
        <f>I6/'Kursy walut'!$E$5</f>
        <v>784.73260494537078</v>
      </c>
      <c r="L6" s="128">
        <f t="shared" ref="L6:L13" si="1">(H6/I6)*100</f>
        <v>96.063398429389707</v>
      </c>
    </row>
    <row r="7" spans="2:13" x14ac:dyDescent="0.25">
      <c r="B7" s="125" t="s">
        <v>105</v>
      </c>
      <c r="C7" s="115">
        <v>8897.2999999999993</v>
      </c>
      <c r="D7" s="115">
        <v>7340.9</v>
      </c>
      <c r="E7" s="117">
        <f>C7/'Kursy walut'!$D$6</f>
        <v>2131.3450712660197</v>
      </c>
      <c r="F7" s="115">
        <f>D7/'Kursy walut'!$D$5</f>
        <v>1786.1505146110612</v>
      </c>
      <c r="G7" s="131">
        <f t="shared" si="0"/>
        <v>121.20176000217957</v>
      </c>
      <c r="H7" s="117">
        <v>30995.09</v>
      </c>
      <c r="I7" s="115">
        <v>28222.27</v>
      </c>
      <c r="J7" s="115">
        <f>H7/'Kursy walut'!$E$6</f>
        <v>7360.5058180954638</v>
      </c>
      <c r="K7" s="115">
        <f>I7/'Kursy walut'!$E$5</f>
        <v>6762.0926777841669</v>
      </c>
      <c r="L7" s="126">
        <f t="shared" si="1"/>
        <v>109.82493612313964</v>
      </c>
    </row>
    <row r="8" spans="2:13" x14ac:dyDescent="0.25">
      <c r="B8" s="127" t="s">
        <v>106</v>
      </c>
      <c r="C8" s="116">
        <v>455.05</v>
      </c>
      <c r="D8" s="116">
        <f>D7-5303.6-2062.4</f>
        <v>-25.100000000000819</v>
      </c>
      <c r="E8" s="118">
        <f>C8/'Kursy walut'!$D$6</f>
        <v>109.0070667145766</v>
      </c>
      <c r="F8" s="116">
        <f>D8/'Kursy walut'!$D$5</f>
        <v>-6.1072045548555494</v>
      </c>
      <c r="G8" s="132" t="s">
        <v>109</v>
      </c>
      <c r="H8" s="118">
        <v>1981.82</v>
      </c>
      <c r="I8" s="116">
        <f>I7-16975.89-8963.84</f>
        <v>2282.5400000000009</v>
      </c>
      <c r="J8" s="116">
        <f>H8/'Kursy walut'!$E$6</f>
        <v>470.62930420327706</v>
      </c>
      <c r="K8" s="116">
        <f>I8/'Kursy walut'!$E$5</f>
        <v>546.89955913360188</v>
      </c>
      <c r="L8" s="128">
        <f t="shared" si="1"/>
        <v>86.825203501362481</v>
      </c>
    </row>
    <row r="9" spans="2:13" x14ac:dyDescent="0.25">
      <c r="B9" s="125" t="s">
        <v>107</v>
      </c>
      <c r="C9" s="115">
        <v>802.58</v>
      </c>
      <c r="D9" s="115">
        <v>306.92</v>
      </c>
      <c r="E9" s="117">
        <f>C9/'Kursy walut'!$D$6</f>
        <v>192.25775541981076</v>
      </c>
      <c r="F9" s="115">
        <f>D9/'Kursy walut'!$D$5</f>
        <v>74.678216014988209</v>
      </c>
      <c r="G9" s="131">
        <f t="shared" si="0"/>
        <v>261.49485207871754</v>
      </c>
      <c r="H9" s="117">
        <v>2611.35</v>
      </c>
      <c r="I9" s="115">
        <v>2893.69</v>
      </c>
      <c r="J9" s="115">
        <f>H9/'Kursy walut'!$E$6</f>
        <v>620.12586084065538</v>
      </c>
      <c r="K9" s="115">
        <f>I9/'Kursy walut'!$E$5</f>
        <v>693.33189572551271</v>
      </c>
      <c r="L9" s="126">
        <f t="shared" si="1"/>
        <v>90.242907844309499</v>
      </c>
    </row>
    <row r="10" spans="2:13" x14ac:dyDescent="0.25">
      <c r="B10" s="127" t="s">
        <v>108</v>
      </c>
      <c r="C10" s="116">
        <v>372.27</v>
      </c>
      <c r="D10" s="116">
        <v>217.68</v>
      </c>
      <c r="E10" s="118">
        <f>C10/'Kursy walut'!$D$6</f>
        <v>89.177146963708225</v>
      </c>
      <c r="F10" s="116">
        <f>D10/'Kursy walut'!$D$5</f>
        <v>52.964792330713649</v>
      </c>
      <c r="G10" s="132">
        <f t="shared" si="0"/>
        <v>171.01708930540241</v>
      </c>
      <c r="H10" s="118">
        <v>1511.71</v>
      </c>
      <c r="I10" s="116">
        <v>2911.63</v>
      </c>
      <c r="J10" s="116">
        <f>H10/'Kursy walut'!$E$6</f>
        <v>358.99073854191403</v>
      </c>
      <c r="K10" s="116">
        <f>I10/'Kursy walut'!$E$5</f>
        <v>697.63034310906642</v>
      </c>
      <c r="L10" s="128">
        <f t="shared" si="1"/>
        <v>51.919715073687243</v>
      </c>
    </row>
    <row r="11" spans="2:13" x14ac:dyDescent="0.25">
      <c r="B11" s="125" t="s">
        <v>110</v>
      </c>
      <c r="C11" s="117">
        <f>C6+C9</f>
        <v>1606.4099999999999</v>
      </c>
      <c r="D11" s="117">
        <f>D6+D9</f>
        <v>1131.33</v>
      </c>
      <c r="E11" s="117">
        <f>C11/'Kursy walut'!$D$6</f>
        <v>384.81494789795181</v>
      </c>
      <c r="F11" s="115">
        <f>D11/'Kursy walut'!$D$5</f>
        <v>275.26947127667341</v>
      </c>
      <c r="G11" s="131">
        <f t="shared" si="0"/>
        <v>141.99305242502186</v>
      </c>
      <c r="H11" s="117">
        <f>H6+H9</f>
        <v>5757.58</v>
      </c>
      <c r="I11" s="117">
        <f>I6+I9</f>
        <v>6168.85</v>
      </c>
      <c r="J11" s="115">
        <f>H11/'Kursy walut'!$E$6</f>
        <v>1367.271431963904</v>
      </c>
      <c r="K11" s="115">
        <f>I11/'Kursy walut'!$E$5</f>
        <v>1478.0645006708835</v>
      </c>
      <c r="L11" s="126">
        <f t="shared" si="1"/>
        <v>93.333117193642252</v>
      </c>
    </row>
    <row r="12" spans="2:13" x14ac:dyDescent="0.25">
      <c r="B12" s="127" t="s">
        <v>111</v>
      </c>
      <c r="C12" s="118">
        <v>372.27</v>
      </c>
      <c r="D12" s="118">
        <v>217.68</v>
      </c>
      <c r="E12" s="118">
        <f>C12/'Kursy walut'!$D$6</f>
        <v>89.177146963708225</v>
      </c>
      <c r="F12" s="116">
        <f>D12/'Kursy walut'!$D$5</f>
        <v>52.964792330713649</v>
      </c>
      <c r="G12" s="132">
        <f t="shared" si="0"/>
        <v>171.01708930540241</v>
      </c>
      <c r="H12" s="118">
        <f>H10</f>
        <v>1511.71</v>
      </c>
      <c r="I12" s="118">
        <f>I10</f>
        <v>2911.63</v>
      </c>
      <c r="J12" s="116">
        <f>H12/'Kursy walut'!$E$6</f>
        <v>358.99073854191403</v>
      </c>
      <c r="K12" s="116">
        <f>I12/'Kursy walut'!$E$5</f>
        <v>697.63034310906642</v>
      </c>
      <c r="L12" s="128">
        <f t="shared" si="1"/>
        <v>51.919715073687243</v>
      </c>
    </row>
    <row r="13" spans="2:13" x14ac:dyDescent="0.25">
      <c r="B13" s="125" t="s">
        <v>22</v>
      </c>
      <c r="C13" s="117">
        <f>C12</f>
        <v>372.27</v>
      </c>
      <c r="D13" s="117">
        <v>353.97</v>
      </c>
      <c r="E13" s="117">
        <f>C13/'Kursy walut'!$D$6</f>
        <v>89.177146963708225</v>
      </c>
      <c r="F13" s="115">
        <f>D13/'Kursy walut'!$D$5</f>
        <v>86.126183118810687</v>
      </c>
      <c r="G13" s="131">
        <f t="shared" si="0"/>
        <v>105.1699296550555</v>
      </c>
      <c r="H13" s="117">
        <v>1511.71</v>
      </c>
      <c r="I13" s="117">
        <v>3047.92</v>
      </c>
      <c r="J13" s="115">
        <f>H13/'Kursy walut'!$E$6</f>
        <v>358.99073854191403</v>
      </c>
      <c r="K13" s="115">
        <f>I13/'Kursy walut'!$E$5</f>
        <v>730.28560475368977</v>
      </c>
      <c r="L13" s="126">
        <f t="shared" si="1"/>
        <v>49.59808656395181</v>
      </c>
    </row>
    <row r="14" spans="2:13" x14ac:dyDescent="0.25">
      <c r="B14" s="208"/>
      <c r="C14" s="23" t="s">
        <v>175</v>
      </c>
      <c r="D14" s="23" t="s">
        <v>175</v>
      </c>
      <c r="E14" s="23" t="s">
        <v>175</v>
      </c>
      <c r="F14" s="23" t="s">
        <v>175</v>
      </c>
      <c r="G14" s="207" t="s">
        <v>99</v>
      </c>
      <c r="H14" s="130" t="s">
        <v>175</v>
      </c>
      <c r="I14" s="23" t="s">
        <v>175</v>
      </c>
      <c r="J14" s="23" t="s">
        <v>175</v>
      </c>
      <c r="K14" s="23" t="s">
        <v>175</v>
      </c>
      <c r="L14" s="207" t="s">
        <v>99</v>
      </c>
    </row>
    <row r="15" spans="2:13" x14ac:dyDescent="0.25">
      <c r="B15" s="209"/>
      <c r="C15" s="20" t="s">
        <v>100</v>
      </c>
      <c r="D15" s="20" t="s">
        <v>101</v>
      </c>
      <c r="E15" s="20" t="s">
        <v>102</v>
      </c>
      <c r="F15" s="20" t="s">
        <v>103</v>
      </c>
      <c r="G15" s="207"/>
      <c r="H15" s="21" t="s">
        <v>100</v>
      </c>
      <c r="I15" s="20" t="s">
        <v>101</v>
      </c>
      <c r="J15" s="20" t="s">
        <v>102</v>
      </c>
      <c r="K15" s="20" t="s">
        <v>103</v>
      </c>
      <c r="L15" s="207"/>
    </row>
    <row r="16" spans="2:13" x14ac:dyDescent="0.25">
      <c r="B16" s="127" t="s">
        <v>112</v>
      </c>
      <c r="C16" s="116">
        <f>C17+C18</f>
        <v>83073.049999999988</v>
      </c>
      <c r="D16" s="116">
        <f t="shared" ref="D16" si="2">D17+D18</f>
        <v>77456.639999999999</v>
      </c>
      <c r="E16" s="116">
        <f>C16/'Kursy walut'!$C$6</f>
        <v>20031.117380401232</v>
      </c>
      <c r="F16" s="116">
        <f>D16/'Kursy walut'!$C$5</f>
        <v>18946.392055183213</v>
      </c>
      <c r="G16" s="133">
        <f>(C16/D16)*100</f>
        <v>107.25103748368119</v>
      </c>
      <c r="H16" s="118">
        <f>H17+H18</f>
        <v>83073.049999999988</v>
      </c>
      <c r="I16" s="116">
        <f t="shared" ref="I16" si="3">I17+I18</f>
        <v>77456.639999999999</v>
      </c>
      <c r="J16" s="116">
        <f>H16/'Kursy walut'!$C$6</f>
        <v>20031.117380401232</v>
      </c>
      <c r="K16" s="116">
        <f>I16/'Kursy walut'!$C$5</f>
        <v>18946.392055183213</v>
      </c>
      <c r="L16" s="133">
        <f>(H16/I16)*100</f>
        <v>107.25103748368119</v>
      </c>
      <c r="M16" s="47"/>
    </row>
    <row r="17" spans="2:13" x14ac:dyDescent="0.25">
      <c r="B17" s="125" t="s">
        <v>30</v>
      </c>
      <c r="C17" s="115">
        <v>31128.959999999999</v>
      </c>
      <c r="D17" s="115">
        <v>30261.01</v>
      </c>
      <c r="E17" s="115">
        <f>C17/'Kursy walut'!$C$6</f>
        <v>7506.0185185185192</v>
      </c>
      <c r="F17" s="115">
        <f>D17/'Kursy walut'!$C$5</f>
        <v>7402.0375715473801</v>
      </c>
      <c r="G17" s="134">
        <f t="shared" ref="G17:G28" si="4">(C17/D17)*100</f>
        <v>102.86821226389999</v>
      </c>
      <c r="H17" s="117">
        <v>31128.959999999999</v>
      </c>
      <c r="I17" s="115">
        <v>30261.01</v>
      </c>
      <c r="J17" s="115">
        <f>H17/'Kursy walut'!$C$6</f>
        <v>7506.0185185185192</v>
      </c>
      <c r="K17" s="115">
        <f>I17/'Kursy walut'!$C$5</f>
        <v>7402.0375715473801</v>
      </c>
      <c r="L17" s="135">
        <f t="shared" ref="L17:L28" si="5">(H17/I17)*100</f>
        <v>102.86821226389999</v>
      </c>
      <c r="M17" s="47"/>
    </row>
    <row r="18" spans="2:13" x14ac:dyDescent="0.25">
      <c r="B18" s="127" t="s">
        <v>39</v>
      </c>
      <c r="C18" s="116">
        <v>51944.09</v>
      </c>
      <c r="D18" s="116">
        <v>47195.63</v>
      </c>
      <c r="E18" s="116">
        <f>C18/'Kursy walut'!$C$6</f>
        <v>12525.098861882716</v>
      </c>
      <c r="F18" s="116">
        <f>D18/'Kursy walut'!$C$5</f>
        <v>11544.354483635831</v>
      </c>
      <c r="G18" s="133">
        <f t="shared" si="4"/>
        <v>110.06122812641763</v>
      </c>
      <c r="H18" s="118">
        <v>51944.09</v>
      </c>
      <c r="I18" s="116">
        <v>47195.63</v>
      </c>
      <c r="J18" s="116">
        <f>H18/'Kursy walut'!$C$6</f>
        <v>12525.098861882716</v>
      </c>
      <c r="K18" s="116">
        <f>I18/'Kursy walut'!$C$5</f>
        <v>11544.354483635831</v>
      </c>
      <c r="L18" s="133">
        <f t="shared" si="5"/>
        <v>110.06122812641763</v>
      </c>
      <c r="M18" s="47"/>
    </row>
    <row r="19" spans="2:13" x14ac:dyDescent="0.25">
      <c r="B19" s="125" t="s">
        <v>40</v>
      </c>
      <c r="C19" s="115">
        <v>24898.26</v>
      </c>
      <c r="D19" s="115">
        <v>21464.45</v>
      </c>
      <c r="E19" s="115">
        <f>C19/'Kursy walut'!$C$6</f>
        <v>6003.6313657407409</v>
      </c>
      <c r="F19" s="115">
        <f>D19/'Kursy walut'!$C$5</f>
        <v>5250.3424489995605</v>
      </c>
      <c r="G19" s="135">
        <f t="shared" si="4"/>
        <v>115.99766124918179</v>
      </c>
      <c r="H19" s="117">
        <v>24898.26</v>
      </c>
      <c r="I19" s="115">
        <v>21464.45</v>
      </c>
      <c r="J19" s="115">
        <f>H19/'Kursy walut'!$C$6</f>
        <v>6003.6313657407409</v>
      </c>
      <c r="K19" s="115">
        <f>I19/'Kursy walut'!$C$5</f>
        <v>5250.3424489995605</v>
      </c>
      <c r="L19" s="135">
        <f t="shared" si="5"/>
        <v>115.99766124918179</v>
      </c>
      <c r="M19" s="47"/>
    </row>
    <row r="20" spans="2:13" x14ac:dyDescent="0.25">
      <c r="B20" s="127" t="s">
        <v>113</v>
      </c>
      <c r="C20" s="116">
        <v>3642.22</v>
      </c>
      <c r="D20" s="116">
        <v>1324.31</v>
      </c>
      <c r="E20" s="116">
        <f>C20/'Kursy walut'!$C$6</f>
        <v>878.23591820987656</v>
      </c>
      <c r="F20" s="116">
        <f>D20/'Kursy walut'!$C$5</f>
        <v>323.93473900494109</v>
      </c>
      <c r="G20" s="133">
        <f t="shared" si="4"/>
        <v>275.0277503001563</v>
      </c>
      <c r="H20" s="118">
        <v>3642.22</v>
      </c>
      <c r="I20" s="116">
        <v>1324.31</v>
      </c>
      <c r="J20" s="116">
        <f>H20/'Kursy walut'!$C$6</f>
        <v>878.23591820987656</v>
      </c>
      <c r="K20" s="116">
        <f>I20/'Kursy walut'!$C$5</f>
        <v>323.93473900494109</v>
      </c>
      <c r="L20" s="133">
        <f t="shared" si="5"/>
        <v>275.0277503001563</v>
      </c>
      <c r="M20" s="47"/>
    </row>
    <row r="21" spans="2:13" x14ac:dyDescent="0.25">
      <c r="B21" s="125" t="s">
        <v>114</v>
      </c>
      <c r="C21" s="115">
        <f>C22+C23</f>
        <v>20327.460000000003</v>
      </c>
      <c r="D21" s="115">
        <f>D22+D23</f>
        <v>22873.8</v>
      </c>
      <c r="E21" s="115">
        <f>C21/'Kursy walut'!$C$6</f>
        <v>4901.4901620370383</v>
      </c>
      <c r="F21" s="115">
        <f>D21/'Kursy walut'!$C$5</f>
        <v>5595.0785186634712</v>
      </c>
      <c r="G21" s="135">
        <f t="shared" si="4"/>
        <v>88.867875036067474</v>
      </c>
      <c r="H21" s="117">
        <f>H22+H23</f>
        <v>20327.460000000003</v>
      </c>
      <c r="I21" s="115">
        <f>I22+I23</f>
        <v>22873.8</v>
      </c>
      <c r="J21" s="115">
        <f>H21/'Kursy walut'!$C$6</f>
        <v>4901.4901620370383</v>
      </c>
      <c r="K21" s="115">
        <f>I21/'Kursy walut'!$C$5</f>
        <v>5595.0785186634712</v>
      </c>
      <c r="L21" s="135">
        <f t="shared" si="5"/>
        <v>88.867875036067474</v>
      </c>
      <c r="M21" s="47"/>
    </row>
    <row r="22" spans="2:13" x14ac:dyDescent="0.25">
      <c r="B22" s="127" t="s">
        <v>115</v>
      </c>
      <c r="C22" s="116">
        <f>18860.22+1467.24</f>
        <v>20327.460000000003</v>
      </c>
      <c r="D22" s="116">
        <f>21444.53+1429.27</f>
        <v>22873.8</v>
      </c>
      <c r="E22" s="116">
        <f>C22/'Kursy walut'!$C$6</f>
        <v>4901.4901620370383</v>
      </c>
      <c r="F22" s="116">
        <f>D22/'Kursy walut'!$C$5</f>
        <v>5595.0785186634712</v>
      </c>
      <c r="G22" s="133">
        <f t="shared" si="4"/>
        <v>88.867875036067474</v>
      </c>
      <c r="H22" s="118">
        <f>18860.22+1467.24</f>
        <v>20327.460000000003</v>
      </c>
      <c r="I22" s="116">
        <f>21444.53+1429.27</f>
        <v>22873.8</v>
      </c>
      <c r="J22" s="116">
        <f>H22/'Kursy walut'!$C$6</f>
        <v>4901.4901620370383</v>
      </c>
      <c r="K22" s="116">
        <f>I22/'Kursy walut'!$C$5</f>
        <v>5595.0785186634712</v>
      </c>
      <c r="L22" s="133">
        <f t="shared" si="5"/>
        <v>88.867875036067474</v>
      </c>
      <c r="M22" s="47"/>
    </row>
    <row r="23" spans="2:13" x14ac:dyDescent="0.25">
      <c r="B23" s="125" t="s">
        <v>116</v>
      </c>
      <c r="C23" s="115">
        <v>0</v>
      </c>
      <c r="D23" s="115">
        <v>0</v>
      </c>
      <c r="E23" s="115">
        <f>C23/'Kursy walut'!$C$6</f>
        <v>0</v>
      </c>
      <c r="F23" s="115">
        <f>D23/'Kursy walut'!$C$5</f>
        <v>0</v>
      </c>
      <c r="G23" s="135" t="s">
        <v>109</v>
      </c>
      <c r="H23" s="117">
        <v>0</v>
      </c>
      <c r="I23" s="115">
        <v>0</v>
      </c>
      <c r="J23" s="115">
        <f>H23/'Kursy walut'!$C$6</f>
        <v>0</v>
      </c>
      <c r="K23" s="115">
        <f>I23/'Kursy walut'!$C$5</f>
        <v>0</v>
      </c>
      <c r="L23" s="135" t="s">
        <v>109</v>
      </c>
      <c r="M23" s="47"/>
    </row>
    <row r="24" spans="2:13" x14ac:dyDescent="0.25">
      <c r="B24" s="127" t="s">
        <v>117</v>
      </c>
      <c r="C24" s="116">
        <f>C25+C26</f>
        <v>43342.74</v>
      </c>
      <c r="D24" s="116">
        <f>D25+D26</f>
        <v>39234.979999999996</v>
      </c>
      <c r="E24" s="116">
        <f>C24/'Kursy walut'!$C$6</f>
        <v>10451.085069444445</v>
      </c>
      <c r="F24" s="116">
        <f>D24/'Kursy walut'!$C$5</f>
        <v>9597.1283205322634</v>
      </c>
      <c r="G24" s="133">
        <f t="shared" si="4"/>
        <v>110.46963704327109</v>
      </c>
      <c r="H24" s="118">
        <f>H25+H26</f>
        <v>43342.74</v>
      </c>
      <c r="I24" s="116">
        <f>I25+I26</f>
        <v>39234.979999999996</v>
      </c>
      <c r="J24" s="116">
        <f>H24/'Kursy walut'!$C$6</f>
        <v>10451.085069444445</v>
      </c>
      <c r="K24" s="116">
        <f>I24/'Kursy walut'!$C$5</f>
        <v>9597.1283205322634</v>
      </c>
      <c r="L24" s="133">
        <f t="shared" si="5"/>
        <v>110.46963704327109</v>
      </c>
      <c r="M24" s="47"/>
    </row>
    <row r="25" spans="2:13" x14ac:dyDescent="0.25">
      <c r="B25" s="125" t="s">
        <v>118</v>
      </c>
      <c r="C25" s="115">
        <v>8390.2099999999991</v>
      </c>
      <c r="D25" s="115">
        <v>3886.7</v>
      </c>
      <c r="E25" s="115">
        <f>C25/'Kursy walut'!$C$6</f>
        <v>2023.1023341049381</v>
      </c>
      <c r="F25" s="115">
        <f>D25/'Kursy walut'!$C$5</f>
        <v>950.71180470622778</v>
      </c>
      <c r="G25" s="135">
        <f t="shared" si="4"/>
        <v>215.86976097975145</v>
      </c>
      <c r="H25" s="117">
        <v>8390.2099999999991</v>
      </c>
      <c r="I25" s="115">
        <v>3886.7</v>
      </c>
      <c r="J25" s="115">
        <f>H25/'Kursy walut'!$C$6</f>
        <v>2023.1023341049381</v>
      </c>
      <c r="K25" s="115">
        <f>I25/'Kursy walut'!$C$5</f>
        <v>950.71180470622778</v>
      </c>
      <c r="L25" s="135">
        <f t="shared" si="5"/>
        <v>215.86976097975145</v>
      </c>
      <c r="M25" s="47"/>
    </row>
    <row r="26" spans="2:13" x14ac:dyDescent="0.25">
      <c r="B26" s="127" t="s">
        <v>70</v>
      </c>
      <c r="C26" s="116">
        <v>34952.53</v>
      </c>
      <c r="D26" s="116">
        <v>35348.28</v>
      </c>
      <c r="E26" s="116">
        <f>C26/'Kursy walut'!$C$6</f>
        <v>8427.9827353395067</v>
      </c>
      <c r="F26" s="116">
        <f>D26/'Kursy walut'!$C$5</f>
        <v>8646.4165158260366</v>
      </c>
      <c r="G26" s="133">
        <f t="shared" si="4"/>
        <v>98.880426430932417</v>
      </c>
      <c r="H26" s="118">
        <v>34952.53</v>
      </c>
      <c r="I26" s="116">
        <v>35348.28</v>
      </c>
      <c r="J26" s="116">
        <f>H26/'Kursy walut'!$C$6</f>
        <v>8427.9827353395067</v>
      </c>
      <c r="K26" s="116">
        <f>I26/'Kursy walut'!$C$5</f>
        <v>8646.4165158260366</v>
      </c>
      <c r="L26" s="133">
        <f t="shared" si="5"/>
        <v>98.880426430932417</v>
      </c>
      <c r="M26" s="47"/>
    </row>
    <row r="27" spans="2:13" x14ac:dyDescent="0.25">
      <c r="B27" s="125" t="s">
        <v>119</v>
      </c>
      <c r="C27" s="115">
        <v>39730.31</v>
      </c>
      <c r="D27" s="115">
        <v>38221.660000000003</v>
      </c>
      <c r="E27" s="115">
        <f>C27/'Kursy walut'!$C$6</f>
        <v>9580.0323109567908</v>
      </c>
      <c r="F27" s="115">
        <f>D27/'Kursy walut'!$C$5</f>
        <v>9349.2637346509491</v>
      </c>
      <c r="G27" s="135">
        <f t="shared" si="4"/>
        <v>103.94710747780185</v>
      </c>
      <c r="H27" s="117">
        <v>39730.31</v>
      </c>
      <c r="I27" s="115">
        <v>38221.660000000003</v>
      </c>
      <c r="J27" s="115">
        <f>H27/'Kursy walut'!$C$6</f>
        <v>9580.0323109567908</v>
      </c>
      <c r="K27" s="115">
        <f>I27/'Kursy walut'!$C$5</f>
        <v>9349.2637346509491</v>
      </c>
      <c r="L27" s="135">
        <f t="shared" si="5"/>
        <v>103.94710747780185</v>
      </c>
      <c r="M27" s="47"/>
    </row>
    <row r="28" spans="2:13" ht="15.75" thickBot="1" x14ac:dyDescent="0.3">
      <c r="B28" s="129" t="s">
        <v>120</v>
      </c>
      <c r="C28" s="136">
        <v>1799.64</v>
      </c>
      <c r="D28" s="136">
        <v>1799.64</v>
      </c>
      <c r="E28" s="136">
        <f>C28/'Kursy walut'!$C$6</f>
        <v>433.94097222222229</v>
      </c>
      <c r="F28" s="136">
        <f>D28/'Kursy walut'!$C$5</f>
        <v>440.20351254830985</v>
      </c>
      <c r="G28" s="137">
        <f t="shared" si="4"/>
        <v>100</v>
      </c>
      <c r="H28" s="138">
        <v>1799.64</v>
      </c>
      <c r="I28" s="136">
        <v>1799.64</v>
      </c>
      <c r="J28" s="136">
        <f>H28/'Kursy walut'!$C$6</f>
        <v>433.94097222222229</v>
      </c>
      <c r="K28" s="136">
        <f>I28/'Kursy walut'!$C$5</f>
        <v>440.20351254830985</v>
      </c>
      <c r="L28" s="137">
        <f t="shared" si="5"/>
        <v>100</v>
      </c>
      <c r="M28" s="47"/>
    </row>
    <row r="29" spans="2:13" ht="15.75" thickTop="1" x14ac:dyDescent="0.25">
      <c r="C29" s="48"/>
      <c r="D29" s="48"/>
      <c r="E29" s="47"/>
      <c r="F29" s="47"/>
      <c r="G29" s="47"/>
      <c r="H29" s="48"/>
      <c r="I29" s="48"/>
      <c r="J29" s="47"/>
      <c r="K29" s="47"/>
      <c r="L29" s="64"/>
      <c r="M29" s="47"/>
    </row>
    <row r="30" spans="2:13" x14ac:dyDescent="0.25">
      <c r="C30" s="48"/>
      <c r="D30" s="48"/>
      <c r="E30" s="47"/>
      <c r="F30" s="47"/>
      <c r="G30" s="47"/>
      <c r="H30" s="48"/>
      <c r="I30" s="48"/>
      <c r="J30" s="47"/>
      <c r="K30" s="47"/>
      <c r="L30" s="64"/>
      <c r="M30" s="47"/>
    </row>
    <row r="31" spans="2:13" x14ac:dyDescent="0.25">
      <c r="C31" s="48"/>
      <c r="D31" s="48"/>
      <c r="E31" s="47"/>
      <c r="F31" s="47"/>
      <c r="G31" s="47"/>
      <c r="H31" s="47"/>
      <c r="I31" s="47"/>
      <c r="J31" s="47"/>
      <c r="K31" s="47"/>
      <c r="L31" s="64"/>
      <c r="M31" s="47"/>
    </row>
  </sheetData>
  <mergeCells count="6">
    <mergeCell ref="B3:B4"/>
    <mergeCell ref="G3:G4"/>
    <mergeCell ref="L3:L4"/>
    <mergeCell ref="B14:B15"/>
    <mergeCell ref="G14:G15"/>
    <mergeCell ref="L14:L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3"/>
  <sheetViews>
    <sheetView workbookViewId="0"/>
  </sheetViews>
  <sheetFormatPr defaultRowHeight="15" x14ac:dyDescent="0.25"/>
  <cols>
    <col min="2" max="2" width="39" customWidth="1"/>
    <col min="3" max="3" width="13.5703125" customWidth="1"/>
    <col min="4" max="5" width="10.42578125" bestFit="1" customWidth="1"/>
    <col min="6" max="6" width="15" bestFit="1" customWidth="1"/>
  </cols>
  <sheetData>
    <row r="3" spans="2:6" ht="15.75" thickBot="1" x14ac:dyDescent="0.3"/>
    <row r="4" spans="2:6" ht="15.75" thickTop="1" x14ac:dyDescent="0.25">
      <c r="B4" s="210"/>
      <c r="C4" s="139" t="s">
        <v>173</v>
      </c>
      <c r="D4" s="124" t="s">
        <v>173</v>
      </c>
      <c r="E4" s="140" t="s">
        <v>183</v>
      </c>
      <c r="F4" s="141" t="s">
        <v>183</v>
      </c>
    </row>
    <row r="5" spans="2:6" x14ac:dyDescent="0.25">
      <c r="B5" s="211"/>
      <c r="C5" s="142">
        <v>2013</v>
      </c>
      <c r="D5" s="143">
        <v>2012</v>
      </c>
      <c r="E5" s="144">
        <v>2013</v>
      </c>
      <c r="F5" s="145">
        <v>2012</v>
      </c>
    </row>
    <row r="6" spans="2:6" x14ac:dyDescent="0.25">
      <c r="B6" s="36" t="s">
        <v>121</v>
      </c>
      <c r="C6" s="24">
        <f>'Wybrane dane finansowe GK'!C9/'Wybrane dane finansowe GK'!C5</f>
        <v>2.6018502579384185E-2</v>
      </c>
      <c r="D6" s="24">
        <f>'Wybrane dane finansowe GK'!D9/'Wybrane dane finansowe GK'!D5</f>
        <v>9.7449553536134159E-3</v>
      </c>
      <c r="E6" s="25">
        <f>'Wybrane dane finansowe GK'!H9/'Wybrane dane finansowe GK'!H5</f>
        <v>2.5412498762875942E-2</v>
      </c>
      <c r="F6" s="37">
        <f>'Wybrane dane finansowe GK'!I9/'Wybrane dane finansowe GK'!I5</f>
        <v>2.8379267263754313E-2</v>
      </c>
    </row>
    <row r="7" spans="2:6" x14ac:dyDescent="0.25">
      <c r="B7" s="38" t="s">
        <v>122</v>
      </c>
      <c r="C7" s="26">
        <f>'Wybrane dane finansowe GK'!C11/'Wybrane dane finansowe GK'!C5</f>
        <v>5.2077528381654845E-2</v>
      </c>
      <c r="D7" s="26">
        <f>'Wybrane dane finansowe GK'!D11/'Wybrane dane finansowe GK'!D5</f>
        <v>3.5920631891709451E-2</v>
      </c>
      <c r="E7" s="27">
        <f>'Wybrane dane finansowe GK'!H11/'Wybrane dane finansowe GK'!H5</f>
        <v>5.603021219949806E-2</v>
      </c>
      <c r="F7" s="39">
        <f>'Wybrane dane finansowe GK'!I11/'Wybrane dane finansowe GK'!I5</f>
        <v>6.0499722796847906E-2</v>
      </c>
    </row>
    <row r="8" spans="2:6" x14ac:dyDescent="0.25">
      <c r="B8" s="36" t="s">
        <v>123</v>
      </c>
      <c r="C8" s="24">
        <f>'Wybrane dane finansowe GK'!C13/'Wybrane dane finansowe GK'!C5</f>
        <v>1.2068464147159598E-2</v>
      </c>
      <c r="D8" s="24">
        <f>'Wybrane dane finansowe GK'!D13/'Wybrane dane finansowe GK'!D5</f>
        <v>1.123883046565405E-2</v>
      </c>
      <c r="E8" s="25">
        <f>'Wybrane dane finansowe GK'!H13/'Wybrane dane finansowe GK'!H5</f>
        <v>1.4711290522077543E-2</v>
      </c>
      <c r="F8" s="37">
        <f>'Wybrane dane finansowe GK'!I13/'Wybrane dane finansowe GK'!I5</f>
        <v>2.9891846147494048E-2</v>
      </c>
    </row>
    <row r="9" spans="2:6" x14ac:dyDescent="0.25">
      <c r="B9" s="38" t="s">
        <v>124</v>
      </c>
      <c r="C9" s="26">
        <f>'Wybrane dane finansowe GK'!C13/('Wybrane dane finansowe GK'!C16-'Wybrane dane finansowe GK'!C24)</f>
        <v>9.3699243726011721E-3</v>
      </c>
      <c r="D9" s="26">
        <f>'Wybrane dane finansowe GK'!D13/('Wybrane dane finansowe GK'!D16-'Wybrane dane finansowe GK'!D24)</f>
        <v>9.2609792457993712E-3</v>
      </c>
      <c r="E9" s="27">
        <f>'Wybrane dane finansowe GK'!H13/('Wybrane dane finansowe GK'!H16-'Wybrane dane finansowe GK'!H24)</f>
        <v>3.8049287810741989E-2</v>
      </c>
      <c r="F9" s="39">
        <f>'Wybrane dane finansowe GK'!I13/('Wybrane dane finansowe GK'!I16-'Wybrane dane finansowe GK'!I24)</f>
        <v>7.9743265991063697E-2</v>
      </c>
    </row>
    <row r="10" spans="2:6" x14ac:dyDescent="0.25">
      <c r="B10" s="40" t="s">
        <v>125</v>
      </c>
      <c r="C10" s="24">
        <f>'Wybrane dane finansowe GK'!C13/'Wybrane dane finansowe GK'!C16</f>
        <v>4.4812366946922018E-3</v>
      </c>
      <c r="D10" s="24">
        <f>'Wybrane dane finansowe GK'!D13/'Wybrane dane finansowe GK'!D16</f>
        <v>4.5699116305587236E-3</v>
      </c>
      <c r="E10" s="25">
        <f>'Wybrane dane finansowe GK'!H13/'Wybrane dane finansowe GK'!H16</f>
        <v>1.8197357626811586E-2</v>
      </c>
      <c r="F10" s="37">
        <f>'Wybrane dane finansowe GK'!I13/'Wybrane dane finansowe GK'!I16</f>
        <v>3.9350015699105977E-2</v>
      </c>
    </row>
    <row r="11" spans="2:6" x14ac:dyDescent="0.25">
      <c r="B11" s="38" t="s">
        <v>126</v>
      </c>
      <c r="C11" s="26">
        <f>'Wybrane dane finansowe GK'!C18/'Wybrane dane finansowe GK'!C26</f>
        <v>1.4861324773914792</v>
      </c>
      <c r="D11" s="26">
        <f>'Wybrane dane finansowe GK'!D18/'Wybrane dane finansowe GK'!D26</f>
        <v>1.3351605792417622</v>
      </c>
      <c r="E11" s="27">
        <f>'Wybrane dane finansowe GK'!H18/'Wybrane dane finansowe GK'!H26</f>
        <v>1.4861324773914792</v>
      </c>
      <c r="F11" s="39">
        <f>'Wybrane dane finansowe GK'!I18/'Wybrane dane finansowe GK'!I26</f>
        <v>1.3351605792417622</v>
      </c>
    </row>
    <row r="12" spans="2:6" ht="15.75" thickBot="1" x14ac:dyDescent="0.3">
      <c r="B12" s="41" t="s">
        <v>127</v>
      </c>
      <c r="C12" s="42">
        <f>'Wybrane dane finansowe GK'!C24/'Wybrane dane finansowe GK'!C16</f>
        <v>0.52174249049481158</v>
      </c>
      <c r="D12" s="42">
        <f>'Wybrane dane finansowe GK'!D24/'Wybrane dane finansowe GK'!D16</f>
        <v>0.50654120808751835</v>
      </c>
      <c r="E12" s="43">
        <f>'Wybrane dane finansowe GK'!H24/'Wybrane dane finansowe GK'!H16</f>
        <v>0.52174249049481158</v>
      </c>
      <c r="F12" s="44">
        <f>'Wybrane dane finansowe GK'!I24/'Wybrane dane finansowe GK'!I16</f>
        <v>0.50654120808751835</v>
      </c>
    </row>
    <row r="13" spans="2:6" ht="15.75" thickTop="1" x14ac:dyDescent="0.25"/>
  </sheetData>
  <mergeCells count="1">
    <mergeCell ref="B4:B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"/>
  <sheetViews>
    <sheetView workbookViewId="0"/>
  </sheetViews>
  <sheetFormatPr defaultRowHeight="15" x14ac:dyDescent="0.25"/>
  <cols>
    <col min="3" max="3" width="23.42578125" customWidth="1"/>
    <col min="4" max="4" width="23" customWidth="1"/>
    <col min="5" max="5" width="22.140625" bestFit="1" customWidth="1"/>
  </cols>
  <sheetData>
    <row r="2" spans="2:5" ht="15.75" thickBot="1" x14ac:dyDescent="0.3"/>
    <row r="3" spans="2:5" ht="15.75" thickTop="1" x14ac:dyDescent="0.25">
      <c r="B3" s="212"/>
      <c r="C3" s="119" t="s">
        <v>128</v>
      </c>
      <c r="D3" s="119" t="s">
        <v>129</v>
      </c>
      <c r="E3" s="120" t="s">
        <v>129</v>
      </c>
    </row>
    <row r="4" spans="2:5" x14ac:dyDescent="0.25">
      <c r="B4" s="213"/>
      <c r="C4" s="121" t="s">
        <v>181</v>
      </c>
      <c r="D4" s="121" t="s">
        <v>173</v>
      </c>
      <c r="E4" s="122" t="s">
        <v>182</v>
      </c>
    </row>
    <row r="5" spans="2:5" x14ac:dyDescent="0.25">
      <c r="B5" s="30">
        <v>2012</v>
      </c>
      <c r="C5" s="28">
        <v>4.0881999999999996</v>
      </c>
      <c r="D5" s="29">
        <v>4.1098999999999997</v>
      </c>
      <c r="E5" s="31">
        <v>4.1736000000000004</v>
      </c>
    </row>
    <row r="6" spans="2:5" ht="15.75" thickBot="1" x14ac:dyDescent="0.3">
      <c r="B6" s="32">
        <v>2013</v>
      </c>
      <c r="C6" s="33">
        <v>4.1471999999999998</v>
      </c>
      <c r="D6" s="33">
        <v>4.1745000000000001</v>
      </c>
      <c r="E6" s="34">
        <v>4.2110000000000003</v>
      </c>
    </row>
    <row r="7" spans="2:5" ht="15.75" thickTop="1" x14ac:dyDescent="0.25"/>
  </sheetData>
  <mergeCells count="1"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</vt:i4>
      </vt:variant>
    </vt:vector>
  </HeadingPairs>
  <TitlesOfParts>
    <vt:vector size="9" baseType="lpstr">
      <vt:lpstr>RZiS GK</vt:lpstr>
      <vt:lpstr>Sk. spr.z cał.doch.GK</vt:lpstr>
      <vt:lpstr>Bilans GK</vt:lpstr>
      <vt:lpstr>Zest.zmian w kap.wł. GK</vt:lpstr>
      <vt:lpstr>Rach.przep.pienięż GK</vt:lpstr>
      <vt:lpstr>Wybrane dane finansowe GK</vt:lpstr>
      <vt:lpstr>Wskaźniki finansowe GK</vt:lpstr>
      <vt:lpstr>Kursy walut</vt:lpstr>
      <vt:lpstr>'Rach.przep.pienięż GK'!Obszar_wydruku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Monika</cp:lastModifiedBy>
  <cp:lastPrinted>2014-02-11T06:21:13Z</cp:lastPrinted>
  <dcterms:created xsi:type="dcterms:W3CDTF">2013-11-04T11:55:12Z</dcterms:created>
  <dcterms:modified xsi:type="dcterms:W3CDTF">2014-03-07T13:22:13Z</dcterms:modified>
</cp:coreProperties>
</file>